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albertslund-my.sharepoint.com/personal/nig_albertslund_dk/Documents/2 - Div opgørelser/"/>
    </mc:Choice>
  </mc:AlternateContent>
  <xr:revisionPtr revIDLastSave="0" documentId="8_{0D8BFD1B-FD14-475B-A0DB-6D6167775C5D}" xr6:coauthVersionLast="47" xr6:coauthVersionMax="47" xr10:uidLastSave="{00000000-0000-0000-0000-000000000000}"/>
  <workbookProtection workbookAlgorithmName="SHA-512" workbookHashValue="akzosp1TlUFHGvFcgZHxR/Fuf6qRTRji48z2K+kcvAYa9ZBDExgPZDEB22pmHNbHNyV+4QIyFNCZC8UQ0uLqpw==" workbookSaltValue="aRm3Xp1Xl5XvJYnisxiU8Q==" workbookSpinCount="100000" lockStructure="1"/>
  <bookViews>
    <workbookView xWindow="-120" yWindow="-120" windowWidth="30960" windowHeight="16800" tabRatio="869" firstSheet="4" activeTab="4" xr2:uid="{00000000-000D-0000-FFFF-FFFF00000000}"/>
  </bookViews>
  <sheets>
    <sheet name="Afgang Tilgang" sheetId="1" state="hidden" r:id="rId1"/>
    <sheet name="Timeløn" sheetId="18" state="hidden" r:id="rId2"/>
    <sheet name="Udgiftsberegning" sheetId="2" state="hidden" r:id="rId3"/>
    <sheet name="Puljebelastning" sheetId="12" state="hidden" r:id="rId4"/>
    <sheet name="Ændring af medarbejders løn" sheetId="15" r:id="rId5"/>
    <sheet name="Nyansættelse af medarbejder" sheetId="19" r:id="rId6"/>
    <sheet name="Beregn tillæg" sheetId="17" state="hidden" r:id="rId7"/>
    <sheet name="lønninger" sheetId="4" state="hidden" r:id="rId8"/>
    <sheet name="SEM" sheetId="9" state="hidden" r:id="rId9"/>
    <sheet name="Diverse" sheetId="10" state="hidden" r:id="rId10"/>
    <sheet name="Vejledning" sheetId="5" r:id="rId11"/>
  </sheets>
  <definedNames>
    <definedName name="BeskGradNyLøn" localSheetId="5">'Nyansættelse af medarbejder'!$R$10</definedName>
    <definedName name="BeskGradNyLøn">'Ændring af medarbejders løn'!$R$9</definedName>
    <definedName name="BeskGradNyLøn1">'Ændring af medarbejders løn'!$R$90</definedName>
    <definedName name="BeskGradRåd1">'Afgang Tilgang'!$C$8</definedName>
    <definedName name="BeskGradRåd2">'Afgang Tilgang'!$C$70</definedName>
    <definedName name="BeskGradRåd2Time">Timeløn!$C$10</definedName>
    <definedName name="Dato1">Diverse!$B$2</definedName>
    <definedName name="Dato2">Diverse!$C$2</definedName>
    <definedName name="Dato3">Diverse!$D$2</definedName>
    <definedName name="Dato4">Diverse!$E$2</definedName>
    <definedName name="DatoLønind">Diverse!$B$3</definedName>
    <definedName name="DatoLønInd2">Diverse!$C$3</definedName>
    <definedName name="DatoLønindSund">Diverse!$B$10</definedName>
    <definedName name="DatoLønindSund2">Diverse!$C$10</definedName>
    <definedName name="DatoSund1">Diverse!$B$9</definedName>
    <definedName name="DatoSund2">Diverse!$C$9</definedName>
    <definedName name="DatoSund3">Diverse!$D$9</definedName>
    <definedName name="DatoSund4">Diverse!$E$9</definedName>
    <definedName name="FraTil">SEM!$A$109:$C$115</definedName>
    <definedName name="JNferiepenge">SEM!$A$83:$C$89</definedName>
    <definedName name="JNovergang">SEM!$A$70:$C$76</definedName>
    <definedName name="JNpension" localSheetId="5">SEM!#REF!</definedName>
    <definedName name="JNpension">SEM!#REF!</definedName>
    <definedName name="LønkodeNyLøn" localSheetId="5">'Nyansættelse af medarbejder'!$I$14</definedName>
    <definedName name="LønkodeNyLøn">'Ændring af medarbejders løn'!$I$12</definedName>
    <definedName name="LønkodeRåd1">'Afgang Tilgang'!$C$15</definedName>
    <definedName name="LønkodeRåd2">'Afgang Tilgang'!$C$77</definedName>
    <definedName name="LønkodeRåd2Time">Timeløn!$C$18</definedName>
    <definedName name="LønkodeTillæg">'Beregn tillæg'!$C$11</definedName>
    <definedName name="LønkodeUd">Udgiftsberegning!$D$15</definedName>
    <definedName name="LønPr">Diverse!$C$2</definedName>
    <definedName name="LønPrDato">Diverse!$B$2</definedName>
    <definedName name="LønPrStor">Diverse!$D$2</definedName>
    <definedName name="MaksBeløb">Diverse!$B$15</definedName>
    <definedName name="MaxPensionskodeAfgang">SEM!$D$121</definedName>
    <definedName name="MaxPensionskodeTilgang">SEM!$D$122</definedName>
    <definedName name="MaxPensionskodeTime">SEM!$D$123</definedName>
    <definedName name="MaxProcentForvPulje">SEM!$A$96:$C$102</definedName>
    <definedName name="NævnerNyLøn" localSheetId="5">'Nyansættelse af medarbejder'!#REF!</definedName>
    <definedName name="NævnerNyLøn">'Ændring af medarbejders løn'!#REF!</definedName>
    <definedName name="NævnerRåd1">'Afgang Tilgang'!$C$10</definedName>
    <definedName name="NævnerRåd2">'Afgang Tilgang'!$C$72</definedName>
    <definedName name="NævnerRåd2Time">Timeløn!$C$12</definedName>
    <definedName name="NævnerUd">Udgiftsberegning!$D$14</definedName>
    <definedName name="PctRegNiveau">Diverse!$B$6</definedName>
    <definedName name="PctRegNiveauSund">Diverse!$B$12</definedName>
    <definedName name="PctRegNyLøn" localSheetId="5">'Nyansættelse af medarbejder'!$M$15</definedName>
    <definedName name="PctRegNyLøn">'Ændring af medarbejders løn'!$M$13</definedName>
    <definedName name="PctRegRåd1">'Afgang Tilgang'!$L$15</definedName>
    <definedName name="PctRegRåd2">'Afgang Tilgang'!$L$77</definedName>
    <definedName name="PctregTillæg">'Beregn tillæg'!$L$11</definedName>
    <definedName name="PctRegTime">Timeløn!$L$18</definedName>
    <definedName name="PctRegUd">Udgiftsberegning!$L$15</definedName>
    <definedName name="PctRegUdDato">Udgiftsberegning!$L$16</definedName>
    <definedName name="Pensionsprocentafgang">'Afgang Tilgang'!$C$17</definedName>
    <definedName name="PensionsProcentNyLøn" localSheetId="5">'Nyansættelse af medarbejder'!$I$15</definedName>
    <definedName name="PensionsProcentNyLøn">'Ændring af medarbejders løn'!$I$13</definedName>
    <definedName name="PensionsProcentTilgang">'Afgang Tilgang'!$C$79</definedName>
    <definedName name="PensionsProcentTilgangTime">Timeløn!$C$20</definedName>
    <definedName name="PensionsprocentUdgift">Udgiftsberegning!$D$17</definedName>
    <definedName name="procentregulering">Diverse!$B$5</definedName>
    <definedName name="ProcentreguleringSund">Diverse!$B$11</definedName>
    <definedName name="Puljeår">Diverse!$B$4</definedName>
    <definedName name="StartkolonneAC1">lønninger!$G$6</definedName>
    <definedName name="StartkolonneAC2">lønninger!$J$6</definedName>
    <definedName name="StartkolonneKostfagl" localSheetId="5">lønninger!#REF!</definedName>
    <definedName name="StartkolonneKostfagl">lønninger!#REF!</definedName>
    <definedName name="StartkolonneNyLøn">SEM!$C$39</definedName>
    <definedName name="StartKolonneRåd1">SEM!$C$33</definedName>
    <definedName name="StartKolonneRåd2">SEM!$C$34</definedName>
    <definedName name="StartKolonneRåd2Time">SEM!$C$36</definedName>
    <definedName name="StartkolonneStandard">lønninger!$D$6</definedName>
    <definedName name="StartkolonneSundAlm">lønninger!$N$6</definedName>
    <definedName name="StartkolonneSundLeder">lønninger!$R$6</definedName>
    <definedName name="StartKolonneUdLøn">SEM!$C$38</definedName>
    <definedName name="TabelLøn">lønninger!$A$9:$S$66</definedName>
    <definedName name="TabelLønninger">lønninger!$A$9:$S$66</definedName>
    <definedName name="TabelLøntabel">SEM!$A$5:$D$11</definedName>
    <definedName name="TabelNettoløn">lønninger!$A$9:$D$64</definedName>
    <definedName name="tabeloverenskomstnr">Vejledning!$A$2:$B$52</definedName>
    <definedName name="TabelPctReg">SEM!$A$143:$C$149</definedName>
    <definedName name="TabelPensgivLøn">SEM!$A$17:$E$24</definedName>
    <definedName name="TabelPuljePension">SEM!$B$43:$D$49</definedName>
    <definedName name="TabelRammeforbrug">SEM!$A$130:$C$136</definedName>
    <definedName name="Tabelændringskode">SEM!$A$57:$D$63</definedName>
    <definedName name="TællerNyLøn" localSheetId="5">'Nyansættelse af medarbejder'!$I$10</definedName>
    <definedName name="TællerNyLøn">'Ændring af medarbejders løn'!$I$9</definedName>
    <definedName name="TællerRåd1">'Afgang Tilgang'!$C$9</definedName>
    <definedName name="TællerRåd2">'Afgang Tilgang'!$C$71</definedName>
    <definedName name="TællerRåd2Time">Timeløn!$C$11</definedName>
    <definedName name="TællerUd">Udgiftsberegning!$D$13</definedName>
    <definedName name="_xlnm.Print_Area" localSheetId="0">'Afgang Tilgang'!$A$1:$H$177</definedName>
    <definedName name="_xlnm.Print_Area" localSheetId="5">'Nyansættelse af medarbejder'!$A$2:$AE$78</definedName>
    <definedName name="_xlnm.Print_Area" localSheetId="3">Puljebelastning!$A:$S</definedName>
    <definedName name="_xlnm.Print_Area" localSheetId="1">Timeløn!$A$1:$I$66</definedName>
    <definedName name="_xlnm.Print_Area" localSheetId="4">'Ændring af medarbejders løn'!$A$1:$AE$159</definedName>
    <definedName name="_xlnm.Print_Titles" localSheetId="3">Puljebelastning!$13:$20</definedName>
    <definedName name="UdskrivLinie">Puljebelastning!$AW$18</definedName>
    <definedName name="Z_40555330_83BF_42FA_97D0_8A355A41C0A0_.wvu.Cols" localSheetId="0" hidden="1">'Afgang Tilgang'!$K:$L</definedName>
    <definedName name="Z_40555330_83BF_42FA_97D0_8A355A41C0A0_.wvu.Cols" localSheetId="6" hidden="1">'Beregn tillæg'!$K:$L</definedName>
    <definedName name="Z_40555330_83BF_42FA_97D0_8A355A41C0A0_.wvu.Cols" localSheetId="5" hidden="1">'Nyansættelse af medarbejder'!$P:$Q,'Nyansættelse af medarbejder'!$AF:$CD</definedName>
    <definedName name="Z_40555330_83BF_42FA_97D0_8A355A41C0A0_.wvu.Cols" localSheetId="3" hidden="1">Puljebelastning!$U:$AX</definedName>
    <definedName name="Z_40555330_83BF_42FA_97D0_8A355A41C0A0_.wvu.Cols" localSheetId="1" hidden="1">Timeløn!$K:$M</definedName>
    <definedName name="Z_40555330_83BF_42FA_97D0_8A355A41C0A0_.wvu.Cols" localSheetId="2" hidden="1">Udgiftsberegning!$K:$M</definedName>
    <definedName name="Z_40555330_83BF_42FA_97D0_8A355A41C0A0_.wvu.Cols" localSheetId="4" hidden="1">'Ændring af medarbejders løn'!$P:$P,'Ændring af medarbejders løn'!$R:$R,'Ændring af medarbejders løn'!$AG:$AL</definedName>
    <definedName name="Z_40555330_83BF_42FA_97D0_8A355A41C0A0_.wvu.PrintArea" localSheetId="0" hidden="1">'Afgang Tilgang'!$A$1:$H$177</definedName>
    <definedName name="Z_40555330_83BF_42FA_97D0_8A355A41C0A0_.wvu.PrintArea" localSheetId="5" hidden="1">'Nyansættelse af medarbejder'!$A$1:$AE$78</definedName>
    <definedName name="Z_40555330_83BF_42FA_97D0_8A355A41C0A0_.wvu.PrintArea" localSheetId="3" hidden="1">Puljebelastning!$A:$S</definedName>
    <definedName name="Z_40555330_83BF_42FA_97D0_8A355A41C0A0_.wvu.PrintArea" localSheetId="1" hidden="1">Timeløn!$A$1:$I$66</definedName>
    <definedName name="Z_40555330_83BF_42FA_97D0_8A355A41C0A0_.wvu.PrintArea" localSheetId="4" hidden="1">'Ændring af medarbejders løn'!$A$1:$AE$159</definedName>
    <definedName name="Z_40555330_83BF_42FA_97D0_8A355A41C0A0_.wvu.PrintTitles" localSheetId="3" hidden="1">Puljebelastning!$13:$20</definedName>
    <definedName name="Z_40555330_83BF_42FA_97D0_8A355A41C0A0_.wvu.Rows" localSheetId="4" hidden="1">'Ændring af medarbejders løn'!$92:$92</definedName>
  </definedNames>
  <calcPr calcId="191029"/>
  <customWorkbookViews>
    <customWorkbookView name="Windows User - Privat visning" guid="{40555330-83BF-42FA-97D0-8A355A41C0A0}" mergeInterval="0" personalView="1" maximized="1" windowWidth="1920" windowHeight="854" tabRatio="869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19" l="1"/>
  <c r="Q23" i="4" l="1"/>
  <c r="Q24" i="4"/>
  <c r="Q25" i="4"/>
  <c r="I89" i="15"/>
  <c r="I88" i="15"/>
  <c r="I87" i="15"/>
  <c r="I86" i="15"/>
  <c r="I12" i="15"/>
  <c r="I14" i="19" l="1"/>
  <c r="I85" i="19"/>
  <c r="I92" i="15"/>
  <c r="J3" i="4" l="1"/>
  <c r="X19" i="4" l="1"/>
  <c r="L18" i="19" l="1"/>
  <c r="M89" i="19"/>
  <c r="L89" i="19"/>
  <c r="M96" i="15"/>
  <c r="L96" i="15"/>
  <c r="M18" i="19"/>
  <c r="M16" i="15"/>
  <c r="L16" i="15"/>
  <c r="P55" i="19" l="1"/>
  <c r="P142" i="15" l="1"/>
  <c r="P111" i="15"/>
  <c r="P140" i="15"/>
  <c r="P139" i="15"/>
  <c r="P137" i="15"/>
  <c r="P136" i="15"/>
  <c r="P135" i="15"/>
  <c r="P134" i="15"/>
  <c r="P126" i="15"/>
  <c r="P125" i="15"/>
  <c r="P124" i="15"/>
  <c r="P117" i="15"/>
  <c r="P116" i="15"/>
  <c r="P114" i="15"/>
  <c r="P113" i="15"/>
  <c r="P112" i="15"/>
  <c r="P105" i="15"/>
  <c r="P63" i="15"/>
  <c r="P61" i="15"/>
  <c r="P60" i="15"/>
  <c r="P58" i="15"/>
  <c r="P57" i="15"/>
  <c r="P56" i="15"/>
  <c r="P54" i="15"/>
  <c r="P46" i="15"/>
  <c r="P45" i="15"/>
  <c r="P44" i="15"/>
  <c r="P37" i="15"/>
  <c r="P36" i="15"/>
  <c r="P34" i="15"/>
  <c r="P33" i="15"/>
  <c r="P32" i="15"/>
  <c r="P25" i="15"/>
  <c r="P31" i="15"/>
  <c r="P54" i="19"/>
  <c r="P53" i="19"/>
  <c r="P27" i="19" l="1"/>
  <c r="P45" i="19"/>
  <c r="P35" i="19"/>
  <c r="P34" i="19"/>
  <c r="P33" i="19"/>
  <c r="P32" i="19"/>
  <c r="P38" i="19"/>
  <c r="P37" i="19"/>
  <c r="P44" i="19"/>
  <c r="B9" i="10" l="1"/>
  <c r="E9" i="10" s="1"/>
  <c r="J4" i="4"/>
  <c r="L85" i="19"/>
  <c r="L122" i="19" s="1"/>
  <c r="M122" i="19" s="1"/>
  <c r="B39" i="9"/>
  <c r="M92" i="15"/>
  <c r="I84" i="15"/>
  <c r="T89" i="19"/>
  <c r="T96" i="15"/>
  <c r="I85" i="15"/>
  <c r="AI55" i="19"/>
  <c r="AI52" i="19"/>
  <c r="AI48" i="19"/>
  <c r="AI45" i="19"/>
  <c r="AI44" i="19"/>
  <c r="AI40" i="19"/>
  <c r="AI37" i="19"/>
  <c r="AI34" i="19"/>
  <c r="AI32" i="19"/>
  <c r="AI30" i="19"/>
  <c r="AI29" i="19"/>
  <c r="AI27" i="19"/>
  <c r="AI24" i="19"/>
  <c r="AI21" i="19"/>
  <c r="AI18" i="19"/>
  <c r="AI16" i="19"/>
  <c r="AI14" i="19"/>
  <c r="AI10" i="19"/>
  <c r="AI4" i="19"/>
  <c r="AG55" i="19"/>
  <c r="AG52" i="19"/>
  <c r="AG48" i="19"/>
  <c r="AG45" i="19"/>
  <c r="AG32" i="19"/>
  <c r="AG34" i="19"/>
  <c r="AG44" i="19"/>
  <c r="AG40" i="19"/>
  <c r="AG43" i="19"/>
  <c r="AG42" i="19"/>
  <c r="AG37" i="19"/>
  <c r="AG30" i="19"/>
  <c r="AG29" i="19"/>
  <c r="AG27" i="19"/>
  <c r="AG24" i="19"/>
  <c r="AG21" i="19"/>
  <c r="AG18" i="19"/>
  <c r="AG16" i="19"/>
  <c r="AG14" i="19"/>
  <c r="AG13" i="15"/>
  <c r="AI4" i="15"/>
  <c r="I65" i="15"/>
  <c r="T18" i="19"/>
  <c r="AG41" i="15"/>
  <c r="AG39" i="15"/>
  <c r="AG36" i="15"/>
  <c r="AG34" i="15"/>
  <c r="AG32" i="15"/>
  <c r="AG30" i="15"/>
  <c r="AG28" i="15"/>
  <c r="AG26" i="15"/>
  <c r="AI9" i="15"/>
  <c r="AI60" i="15"/>
  <c r="AI65" i="15"/>
  <c r="AI57" i="15"/>
  <c r="AI54" i="15"/>
  <c r="AI50" i="15"/>
  <c r="AI45" i="15"/>
  <c r="AI43" i="15"/>
  <c r="AI41" i="15"/>
  <c r="AI39" i="15"/>
  <c r="AI36" i="15"/>
  <c r="AI34" i="15"/>
  <c r="AI32" i="15"/>
  <c r="AG65" i="15"/>
  <c r="AG60" i="15"/>
  <c r="AG57" i="15"/>
  <c r="AG54" i="15"/>
  <c r="AG50" i="15"/>
  <c r="AG45" i="15"/>
  <c r="AG43" i="15"/>
  <c r="AI30" i="15"/>
  <c r="AI28" i="15"/>
  <c r="AI26" i="15"/>
  <c r="AI24" i="15"/>
  <c r="AG24" i="15"/>
  <c r="AG21" i="15"/>
  <c r="AG19" i="15"/>
  <c r="AI21" i="15"/>
  <c r="AI19" i="15"/>
  <c r="AG17" i="15"/>
  <c r="AG15" i="15"/>
  <c r="AI17" i="15"/>
  <c r="AI15" i="15"/>
  <c r="AI13" i="15"/>
  <c r="T16" i="15"/>
  <c r="M14" i="19"/>
  <c r="H3" i="4"/>
  <c r="H4" i="4" s="1"/>
  <c r="J137" i="19"/>
  <c r="I137" i="19"/>
  <c r="R84" i="19"/>
  <c r="J57" i="19"/>
  <c r="I57" i="19"/>
  <c r="R10" i="19"/>
  <c r="J144" i="15"/>
  <c r="I144" i="15"/>
  <c r="R90" i="15"/>
  <c r="R9" i="15"/>
  <c r="C41" i="1"/>
  <c r="K42" i="1" s="1"/>
  <c r="Q8" i="12"/>
  <c r="D62" i="4"/>
  <c r="D54" i="4"/>
  <c r="D46" i="4"/>
  <c r="D38" i="4"/>
  <c r="D30" i="4"/>
  <c r="D22" i="4"/>
  <c r="D14" i="4"/>
  <c r="C8" i="1"/>
  <c r="D13" i="1"/>
  <c r="B15" i="1"/>
  <c r="E21" i="1"/>
  <c r="F21" i="1"/>
  <c r="B39" i="1"/>
  <c r="D41" i="1"/>
  <c r="D44" i="1" s="1"/>
  <c r="C69" i="1"/>
  <c r="C70" i="1"/>
  <c r="C73" i="1"/>
  <c r="C74" i="1"/>
  <c r="D75" i="1"/>
  <c r="B77" i="1"/>
  <c r="E85" i="1"/>
  <c r="F85" i="1"/>
  <c r="C102" i="1"/>
  <c r="C104" i="1" s="1"/>
  <c r="C46" i="1" s="1"/>
  <c r="D102" i="1"/>
  <c r="D104" i="1" s="1"/>
  <c r="D46" i="1" s="1"/>
  <c r="B127" i="1"/>
  <c r="C134" i="1"/>
  <c r="C177" i="1" s="1"/>
  <c r="D134" i="1"/>
  <c r="D177" i="1" s="1"/>
  <c r="C2" i="10"/>
  <c r="C11" i="10" s="1"/>
  <c r="E2" i="10"/>
  <c r="B48" i="2" s="1"/>
  <c r="D6" i="4"/>
  <c r="C43" i="9" s="1"/>
  <c r="G6" i="4"/>
  <c r="N6" i="4"/>
  <c r="B8" i="9" s="1"/>
  <c r="R6" i="4"/>
  <c r="B9" i="9" s="1"/>
  <c r="B10" i="9"/>
  <c r="D10" i="4"/>
  <c r="D11" i="4"/>
  <c r="D12" i="4"/>
  <c r="D13" i="4"/>
  <c r="D15" i="4"/>
  <c r="D16" i="4"/>
  <c r="D17" i="4"/>
  <c r="D18" i="4"/>
  <c r="D19" i="4"/>
  <c r="D20" i="4"/>
  <c r="D21" i="4"/>
  <c r="D23" i="4"/>
  <c r="D24" i="4"/>
  <c r="D25" i="4"/>
  <c r="D26" i="4"/>
  <c r="R26" i="4"/>
  <c r="D27" i="4"/>
  <c r="R27" i="4"/>
  <c r="D28" i="4"/>
  <c r="N28" i="4"/>
  <c r="R28" i="4"/>
  <c r="D29" i="4"/>
  <c r="N29" i="4"/>
  <c r="R29" i="4"/>
  <c r="N30" i="4"/>
  <c r="R30" i="4"/>
  <c r="D31" i="4"/>
  <c r="N31" i="4"/>
  <c r="R31" i="4"/>
  <c r="D32" i="4"/>
  <c r="N32" i="4"/>
  <c r="R32" i="4"/>
  <c r="D33" i="4"/>
  <c r="N33" i="4"/>
  <c r="R33" i="4"/>
  <c r="D34" i="4"/>
  <c r="N34" i="4"/>
  <c r="R34" i="4"/>
  <c r="D35" i="4"/>
  <c r="N35" i="4"/>
  <c r="R35" i="4"/>
  <c r="D36" i="4"/>
  <c r="N36" i="4"/>
  <c r="R36" i="4"/>
  <c r="D37" i="4"/>
  <c r="N37" i="4"/>
  <c r="R37" i="4"/>
  <c r="N38" i="4"/>
  <c r="R38" i="4"/>
  <c r="D39" i="4"/>
  <c r="N39" i="4"/>
  <c r="R39" i="4"/>
  <c r="D40" i="4"/>
  <c r="N40" i="4"/>
  <c r="R40" i="4"/>
  <c r="D41" i="4"/>
  <c r="N41" i="4"/>
  <c r="R41" i="4"/>
  <c r="D42" i="4"/>
  <c r="N42" i="4"/>
  <c r="R42" i="4"/>
  <c r="D43" i="4"/>
  <c r="N43" i="4"/>
  <c r="R43" i="4"/>
  <c r="D44" i="4"/>
  <c r="N44" i="4"/>
  <c r="R44" i="4"/>
  <c r="D45" i="4"/>
  <c r="N45" i="4"/>
  <c r="R45" i="4"/>
  <c r="N46" i="4"/>
  <c r="R46" i="4"/>
  <c r="D47" i="4"/>
  <c r="N47" i="4"/>
  <c r="R47" i="4"/>
  <c r="D48" i="4"/>
  <c r="N48" i="4"/>
  <c r="R48" i="4"/>
  <c r="D49" i="4"/>
  <c r="N49" i="4"/>
  <c r="R49" i="4"/>
  <c r="D50" i="4"/>
  <c r="N50" i="4"/>
  <c r="R50" i="4"/>
  <c r="D51" i="4"/>
  <c r="N51" i="4"/>
  <c r="R51" i="4"/>
  <c r="D52" i="4"/>
  <c r="N52" i="4"/>
  <c r="R52" i="4"/>
  <c r="D53" i="4"/>
  <c r="N53" i="4"/>
  <c r="R53" i="4"/>
  <c r="N54" i="4"/>
  <c r="R54" i="4"/>
  <c r="D55" i="4"/>
  <c r="N55" i="4"/>
  <c r="R55" i="4"/>
  <c r="D56" i="4"/>
  <c r="N56" i="4"/>
  <c r="R56" i="4"/>
  <c r="D57" i="4"/>
  <c r="N57" i="4"/>
  <c r="R57" i="4"/>
  <c r="D58" i="4"/>
  <c r="N58" i="4"/>
  <c r="R58" i="4"/>
  <c r="D59" i="4"/>
  <c r="N59" i="4"/>
  <c r="R59" i="4"/>
  <c r="D60" i="4"/>
  <c r="N60" i="4"/>
  <c r="R60" i="4"/>
  <c r="D61" i="4"/>
  <c r="N61" i="4"/>
  <c r="R61" i="4"/>
  <c r="N62" i="4"/>
  <c r="R62" i="4"/>
  <c r="D63" i="4"/>
  <c r="N63" i="4"/>
  <c r="R63" i="4"/>
  <c r="D64" i="4"/>
  <c r="N64" i="4"/>
  <c r="R64" i="4"/>
  <c r="D65" i="4"/>
  <c r="N65" i="4"/>
  <c r="R65" i="4"/>
  <c r="J65" i="15"/>
  <c r="A1" i="12"/>
  <c r="R1" i="12"/>
  <c r="Q5" i="12"/>
  <c r="R5" i="12"/>
  <c r="S5" i="12"/>
  <c r="R8" i="12"/>
  <c r="S8" i="12"/>
  <c r="N14" i="12"/>
  <c r="O14" i="12"/>
  <c r="P14" i="12"/>
  <c r="Q15" i="12"/>
  <c r="AS18" i="12" s="1"/>
  <c r="R15" i="12"/>
  <c r="AT18" i="12" s="1"/>
  <c r="S15" i="12"/>
  <c r="AU18" i="12" s="1"/>
  <c r="D21" i="12"/>
  <c r="V21" i="12"/>
  <c r="W21" i="12"/>
  <c r="X21" i="12"/>
  <c r="AW21" i="12"/>
  <c r="D22" i="12"/>
  <c r="U22" i="12"/>
  <c r="V22" i="12"/>
  <c r="W22" i="12"/>
  <c r="X22" i="12"/>
  <c r="AP22" i="12" s="1"/>
  <c r="AQ22" i="12"/>
  <c r="AW22" i="12"/>
  <c r="D23" i="12"/>
  <c r="V23" i="12"/>
  <c r="W23" i="12"/>
  <c r="X23" i="12"/>
  <c r="AW23" i="12"/>
  <c r="D24" i="12"/>
  <c r="U24" i="12"/>
  <c r="V24" i="12"/>
  <c r="W24" i="12"/>
  <c r="X24" i="12"/>
  <c r="AP24" i="12" s="1"/>
  <c r="AQ24" i="12"/>
  <c r="AW24" i="12"/>
  <c r="D25" i="12"/>
  <c r="V25" i="12"/>
  <c r="W25" i="12"/>
  <c r="X25" i="12"/>
  <c r="AW25" i="12"/>
  <c r="D26" i="12"/>
  <c r="U26" i="12"/>
  <c r="V26" i="12"/>
  <c r="W26" i="12"/>
  <c r="X26" i="12"/>
  <c r="AP26" i="12" s="1"/>
  <c r="AQ26" i="12"/>
  <c r="AW26" i="12"/>
  <c r="D27" i="12"/>
  <c r="V27" i="12"/>
  <c r="W27" i="12"/>
  <c r="X27" i="12"/>
  <c r="AW27" i="12"/>
  <c r="D28" i="12"/>
  <c r="U28" i="12"/>
  <c r="V28" i="12"/>
  <c r="W28" i="12"/>
  <c r="X28" i="12"/>
  <c r="AP28" i="12" s="1"/>
  <c r="AQ28" i="12"/>
  <c r="AW28" i="12"/>
  <c r="D29" i="12"/>
  <c r="V29" i="12"/>
  <c r="W29" i="12"/>
  <c r="X29" i="12"/>
  <c r="AW29" i="12"/>
  <c r="D30" i="12"/>
  <c r="U30" i="12"/>
  <c r="V30" i="12"/>
  <c r="W30" i="12"/>
  <c r="X30" i="12"/>
  <c r="AP30" i="12" s="1"/>
  <c r="AQ30" i="12"/>
  <c r="AW30" i="12"/>
  <c r="D31" i="12"/>
  <c r="V31" i="12"/>
  <c r="W31" i="12"/>
  <c r="X31" i="12"/>
  <c r="AW31" i="12"/>
  <c r="D32" i="12"/>
  <c r="U32" i="12"/>
  <c r="V32" i="12"/>
  <c r="W32" i="12"/>
  <c r="X32" i="12"/>
  <c r="AP32" i="12" s="1"/>
  <c r="AQ32" i="12"/>
  <c r="AW32" i="12"/>
  <c r="D33" i="12"/>
  <c r="V33" i="12"/>
  <c r="W33" i="12"/>
  <c r="X33" i="12"/>
  <c r="AW33" i="12"/>
  <c r="D34" i="12"/>
  <c r="U34" i="12"/>
  <c r="V34" i="12"/>
  <c r="W34" i="12"/>
  <c r="X34" i="12"/>
  <c r="AP34" i="12" s="1"/>
  <c r="AQ34" i="12"/>
  <c r="AW34" i="12"/>
  <c r="D35" i="12"/>
  <c r="V35" i="12"/>
  <c r="W35" i="12"/>
  <c r="X35" i="12"/>
  <c r="AW35" i="12"/>
  <c r="D36" i="12"/>
  <c r="U36" i="12"/>
  <c r="V36" i="12"/>
  <c r="W36" i="12"/>
  <c r="X36" i="12"/>
  <c r="AP36" i="12" s="1"/>
  <c r="AQ36" i="12"/>
  <c r="AW36" i="12"/>
  <c r="D37" i="12"/>
  <c r="V37" i="12"/>
  <c r="W37" i="12"/>
  <c r="X37" i="12"/>
  <c r="AW37" i="12"/>
  <c r="D38" i="12"/>
  <c r="U38" i="12"/>
  <c r="V38" i="12"/>
  <c r="W38" i="12"/>
  <c r="X38" i="12"/>
  <c r="AP38" i="12" s="1"/>
  <c r="AQ38" i="12"/>
  <c r="AW38" i="12"/>
  <c r="D39" i="12"/>
  <c r="V39" i="12"/>
  <c r="W39" i="12"/>
  <c r="X39" i="12"/>
  <c r="AW39" i="12"/>
  <c r="D40" i="12"/>
  <c r="U40" i="12"/>
  <c r="V40" i="12"/>
  <c r="W40" i="12"/>
  <c r="X40" i="12"/>
  <c r="AP40" i="12" s="1"/>
  <c r="AQ40" i="12"/>
  <c r="AW40" i="12"/>
  <c r="D41" i="12"/>
  <c r="V41" i="12"/>
  <c r="W41" i="12"/>
  <c r="X41" i="12"/>
  <c r="AW41" i="12"/>
  <c r="D42" i="12"/>
  <c r="U42" i="12"/>
  <c r="V42" i="12"/>
  <c r="W42" i="12"/>
  <c r="X42" i="12"/>
  <c r="AP42" i="12" s="1"/>
  <c r="AQ42" i="12"/>
  <c r="AW42" i="12"/>
  <c r="D43" i="12"/>
  <c r="V43" i="12"/>
  <c r="W43" i="12"/>
  <c r="X43" i="12"/>
  <c r="AW43" i="12"/>
  <c r="D44" i="12"/>
  <c r="U44" i="12"/>
  <c r="V44" i="12"/>
  <c r="W44" i="12"/>
  <c r="X44" i="12"/>
  <c r="AP44" i="12" s="1"/>
  <c r="AQ44" i="12"/>
  <c r="AW44" i="12"/>
  <c r="D45" i="12"/>
  <c r="V45" i="12"/>
  <c r="W45" i="12"/>
  <c r="X45" i="12"/>
  <c r="AW45" i="12"/>
  <c r="D46" i="12"/>
  <c r="U46" i="12"/>
  <c r="V46" i="12"/>
  <c r="W46" i="12"/>
  <c r="X46" i="12"/>
  <c r="AP46" i="12" s="1"/>
  <c r="AQ46" i="12"/>
  <c r="AW46" i="12"/>
  <c r="D47" i="12"/>
  <c r="V47" i="12"/>
  <c r="W47" i="12"/>
  <c r="X47" i="12"/>
  <c r="AW47" i="12"/>
  <c r="D48" i="12"/>
  <c r="U48" i="12"/>
  <c r="V48" i="12"/>
  <c r="W48" i="12"/>
  <c r="X48" i="12"/>
  <c r="AP48" i="12" s="1"/>
  <c r="AQ48" i="12"/>
  <c r="AW48" i="12"/>
  <c r="D49" i="12"/>
  <c r="V49" i="12"/>
  <c r="W49" i="12"/>
  <c r="X49" i="12"/>
  <c r="AW49" i="12"/>
  <c r="D50" i="12"/>
  <c r="U50" i="12"/>
  <c r="V50" i="12"/>
  <c r="W50" i="12"/>
  <c r="X50" i="12"/>
  <c r="AP50" i="12" s="1"/>
  <c r="AQ50" i="12"/>
  <c r="AW50" i="12"/>
  <c r="D51" i="12"/>
  <c r="V51" i="12"/>
  <c r="W51" i="12"/>
  <c r="X51" i="12"/>
  <c r="AW51" i="12"/>
  <c r="D52" i="12"/>
  <c r="U52" i="12"/>
  <c r="V52" i="12"/>
  <c r="W52" i="12"/>
  <c r="X52" i="12"/>
  <c r="AP52" i="12" s="1"/>
  <c r="AQ52" i="12"/>
  <c r="AW52" i="12"/>
  <c r="D53" i="12"/>
  <c r="V53" i="12"/>
  <c r="W53" i="12"/>
  <c r="X53" i="12"/>
  <c r="AW53" i="12"/>
  <c r="D54" i="12"/>
  <c r="U54" i="12"/>
  <c r="V54" i="12"/>
  <c r="W54" i="12"/>
  <c r="X54" i="12"/>
  <c r="AP54" i="12" s="1"/>
  <c r="AQ54" i="12"/>
  <c r="AW54" i="12"/>
  <c r="D55" i="12"/>
  <c r="V55" i="12"/>
  <c r="W55" i="12"/>
  <c r="X55" i="12"/>
  <c r="AW55" i="12"/>
  <c r="D56" i="12"/>
  <c r="U56" i="12"/>
  <c r="V56" i="12"/>
  <c r="W56" i="12"/>
  <c r="X56" i="12"/>
  <c r="AP56" i="12" s="1"/>
  <c r="AQ56" i="12"/>
  <c r="AW56" i="12"/>
  <c r="D57" i="12"/>
  <c r="V57" i="12"/>
  <c r="W57" i="12"/>
  <c r="X57" i="12"/>
  <c r="AW57" i="12"/>
  <c r="D58" i="12"/>
  <c r="U58" i="12"/>
  <c r="V58" i="12"/>
  <c r="W58" i="12"/>
  <c r="X58" i="12"/>
  <c r="AP58" i="12" s="1"/>
  <c r="AQ58" i="12"/>
  <c r="AW58" i="12"/>
  <c r="D59" i="12"/>
  <c r="V59" i="12"/>
  <c r="W59" i="12"/>
  <c r="X59" i="12"/>
  <c r="AW59" i="12"/>
  <c r="D60" i="12"/>
  <c r="U60" i="12"/>
  <c r="V60" i="12"/>
  <c r="W60" i="12"/>
  <c r="X60" i="12"/>
  <c r="AP60" i="12" s="1"/>
  <c r="AQ60" i="12"/>
  <c r="AW60" i="12"/>
  <c r="D61" i="12"/>
  <c r="V61" i="12"/>
  <c r="W61" i="12"/>
  <c r="X61" i="12"/>
  <c r="AW61" i="12"/>
  <c r="D62" i="12"/>
  <c r="U62" i="12"/>
  <c r="V62" i="12"/>
  <c r="W62" i="12"/>
  <c r="X62" i="12"/>
  <c r="AP62" i="12" s="1"/>
  <c r="AQ62" i="12"/>
  <c r="AW62" i="12"/>
  <c r="D63" i="12"/>
  <c r="V63" i="12"/>
  <c r="W63" i="12"/>
  <c r="X63" i="12"/>
  <c r="AW63" i="12"/>
  <c r="D64" i="12"/>
  <c r="U64" i="12"/>
  <c r="V64" i="12"/>
  <c r="W64" i="12"/>
  <c r="X64" i="12"/>
  <c r="AP64" i="12" s="1"/>
  <c r="AQ64" i="12"/>
  <c r="AW64" i="12"/>
  <c r="D65" i="12"/>
  <c r="V65" i="12"/>
  <c r="W65" i="12"/>
  <c r="X65" i="12"/>
  <c r="AW65" i="12"/>
  <c r="D66" i="12"/>
  <c r="U66" i="12"/>
  <c r="V66" i="12"/>
  <c r="W66" i="12"/>
  <c r="X66" i="12"/>
  <c r="AP66" i="12" s="1"/>
  <c r="AQ66" i="12"/>
  <c r="AW66" i="12"/>
  <c r="D67" i="12"/>
  <c r="V67" i="12"/>
  <c r="W67" i="12"/>
  <c r="X67" i="12"/>
  <c r="AW67" i="12"/>
  <c r="D68" i="12"/>
  <c r="U68" i="12"/>
  <c r="V68" i="12"/>
  <c r="W68" i="12"/>
  <c r="X68" i="12"/>
  <c r="AP68" i="12" s="1"/>
  <c r="AQ68" i="12"/>
  <c r="AW68" i="12"/>
  <c r="D69" i="12"/>
  <c r="V69" i="12"/>
  <c r="W69" i="12"/>
  <c r="X69" i="12"/>
  <c r="AW69" i="12"/>
  <c r="D70" i="12"/>
  <c r="U70" i="12"/>
  <c r="V70" i="12"/>
  <c r="W70" i="12"/>
  <c r="X70" i="12"/>
  <c r="AP70" i="12" s="1"/>
  <c r="AQ70" i="12"/>
  <c r="AW70" i="12"/>
  <c r="D71" i="12"/>
  <c r="V71" i="12"/>
  <c r="W71" i="12"/>
  <c r="X71" i="12"/>
  <c r="AW71" i="12"/>
  <c r="D72" i="12"/>
  <c r="U72" i="12"/>
  <c r="V72" i="12"/>
  <c r="W72" i="12"/>
  <c r="X72" i="12"/>
  <c r="AP72" i="12" s="1"/>
  <c r="AQ72" i="12"/>
  <c r="AW72" i="12"/>
  <c r="D73" i="12"/>
  <c r="V73" i="12"/>
  <c r="W73" i="12"/>
  <c r="X73" i="12"/>
  <c r="AW73" i="12"/>
  <c r="D74" i="12"/>
  <c r="U74" i="12"/>
  <c r="V74" i="12"/>
  <c r="W74" i="12"/>
  <c r="X74" i="12"/>
  <c r="AP74" i="12" s="1"/>
  <c r="AQ74" i="12"/>
  <c r="AW74" i="12"/>
  <c r="D75" i="12"/>
  <c r="V75" i="12"/>
  <c r="W75" i="12"/>
  <c r="X75" i="12"/>
  <c r="AW75" i="12"/>
  <c r="D76" i="12"/>
  <c r="U76" i="12"/>
  <c r="V76" i="12"/>
  <c r="W76" i="12"/>
  <c r="X76" i="12"/>
  <c r="AP76" i="12" s="1"/>
  <c r="AQ76" i="12"/>
  <c r="AW76" i="12"/>
  <c r="D77" i="12"/>
  <c r="V77" i="12"/>
  <c r="W77" i="12"/>
  <c r="X77" i="12"/>
  <c r="AW77" i="12"/>
  <c r="D78" i="12"/>
  <c r="U78" i="12"/>
  <c r="V78" i="12"/>
  <c r="W78" i="12"/>
  <c r="X78" i="12"/>
  <c r="AP78" i="12" s="1"/>
  <c r="AQ78" i="12"/>
  <c r="AW78" i="12"/>
  <c r="D79" i="12"/>
  <c r="V79" i="12"/>
  <c r="W79" i="12"/>
  <c r="X79" i="12"/>
  <c r="AW79" i="12"/>
  <c r="D80" i="12"/>
  <c r="U80" i="12"/>
  <c r="V80" i="12"/>
  <c r="W80" i="12"/>
  <c r="X80" i="12"/>
  <c r="AP80" i="12" s="1"/>
  <c r="AQ80" i="12"/>
  <c r="AW80" i="12"/>
  <c r="D81" i="12"/>
  <c r="V81" i="12"/>
  <c r="W81" i="12"/>
  <c r="X81" i="12"/>
  <c r="AW81" i="12"/>
  <c r="D82" i="12"/>
  <c r="U82" i="12"/>
  <c r="V82" i="12"/>
  <c r="W82" i="12"/>
  <c r="X82" i="12"/>
  <c r="AP82" i="12" s="1"/>
  <c r="AQ82" i="12"/>
  <c r="AW82" i="12"/>
  <c r="D83" i="12"/>
  <c r="V83" i="12"/>
  <c r="W83" i="12"/>
  <c r="X83" i="12"/>
  <c r="AW83" i="12"/>
  <c r="D84" i="12"/>
  <c r="U84" i="12"/>
  <c r="V84" i="12"/>
  <c r="W84" i="12"/>
  <c r="X84" i="12"/>
  <c r="AP84" i="12" s="1"/>
  <c r="AQ84" i="12"/>
  <c r="AW84" i="12"/>
  <c r="D85" i="12"/>
  <c r="V85" i="12"/>
  <c r="W85" i="12"/>
  <c r="X85" i="12"/>
  <c r="AW85" i="12"/>
  <c r="D86" i="12"/>
  <c r="U86" i="12"/>
  <c r="V86" i="12"/>
  <c r="W86" i="12"/>
  <c r="X86" i="12"/>
  <c r="AP86" i="12" s="1"/>
  <c r="AQ86" i="12"/>
  <c r="AW86" i="12"/>
  <c r="D87" i="12"/>
  <c r="V87" i="12"/>
  <c r="W87" i="12"/>
  <c r="X87" i="12"/>
  <c r="AW87" i="12"/>
  <c r="D88" i="12"/>
  <c r="U88" i="12"/>
  <c r="V88" i="12"/>
  <c r="W88" i="12"/>
  <c r="X88" i="12"/>
  <c r="AP88" i="12" s="1"/>
  <c r="AQ88" i="12"/>
  <c r="AW88" i="12"/>
  <c r="D89" i="12"/>
  <c r="V89" i="12"/>
  <c r="W89" i="12"/>
  <c r="X89" i="12"/>
  <c r="AW89" i="12"/>
  <c r="D90" i="12"/>
  <c r="U90" i="12"/>
  <c r="V90" i="12"/>
  <c r="W90" i="12"/>
  <c r="X90" i="12"/>
  <c r="AP90" i="12" s="1"/>
  <c r="AQ90" i="12"/>
  <c r="AW90" i="12"/>
  <c r="D91" i="12"/>
  <c r="V91" i="12"/>
  <c r="W91" i="12"/>
  <c r="X91" i="12"/>
  <c r="AW91" i="12"/>
  <c r="D92" i="12"/>
  <c r="U92" i="12"/>
  <c r="V92" i="12"/>
  <c r="W92" i="12"/>
  <c r="X92" i="12"/>
  <c r="AP92" i="12" s="1"/>
  <c r="AQ92" i="12"/>
  <c r="AW92" i="12"/>
  <c r="D93" i="12"/>
  <c r="V93" i="12"/>
  <c r="W93" i="12"/>
  <c r="X93" i="12"/>
  <c r="AW93" i="12"/>
  <c r="D94" i="12"/>
  <c r="U94" i="12"/>
  <c r="V94" i="12"/>
  <c r="W94" i="12"/>
  <c r="X94" i="12"/>
  <c r="AP94" i="12" s="1"/>
  <c r="AQ94" i="12"/>
  <c r="AW94" i="12"/>
  <c r="D95" i="12"/>
  <c r="V95" i="12"/>
  <c r="W95" i="12"/>
  <c r="X95" i="12"/>
  <c r="AW95" i="12"/>
  <c r="D96" i="12"/>
  <c r="U96" i="12"/>
  <c r="V96" i="12"/>
  <c r="W96" i="12"/>
  <c r="X96" i="12"/>
  <c r="AP96" i="12" s="1"/>
  <c r="AQ96" i="12"/>
  <c r="AW96" i="12"/>
  <c r="D97" i="12"/>
  <c r="V97" i="12"/>
  <c r="W97" i="12"/>
  <c r="X97" i="12"/>
  <c r="AW97" i="12"/>
  <c r="D98" i="12"/>
  <c r="U98" i="12"/>
  <c r="V98" i="12"/>
  <c r="W98" i="12"/>
  <c r="X98" i="12"/>
  <c r="AP98" i="12" s="1"/>
  <c r="AQ98" i="12"/>
  <c r="AW98" i="12"/>
  <c r="D99" i="12"/>
  <c r="V99" i="12"/>
  <c r="W99" i="12"/>
  <c r="X99" i="12"/>
  <c r="AW99" i="12"/>
  <c r="D100" i="12"/>
  <c r="U100" i="12"/>
  <c r="V100" i="12"/>
  <c r="W100" i="12"/>
  <c r="X100" i="12"/>
  <c r="AP100" i="12" s="1"/>
  <c r="AQ100" i="12"/>
  <c r="AW100" i="12"/>
  <c r="D101" i="12"/>
  <c r="V101" i="12"/>
  <c r="W101" i="12"/>
  <c r="X101" i="12"/>
  <c r="AW101" i="12"/>
  <c r="D102" i="12"/>
  <c r="U102" i="12"/>
  <c r="V102" i="12"/>
  <c r="W102" i="12"/>
  <c r="X102" i="12"/>
  <c r="AP102" i="12" s="1"/>
  <c r="AQ102" i="12"/>
  <c r="AW102" i="12"/>
  <c r="D103" i="12"/>
  <c r="V103" i="12"/>
  <c r="W103" i="12"/>
  <c r="X103" i="12"/>
  <c r="AW103" i="12"/>
  <c r="D104" i="12"/>
  <c r="U104" i="12"/>
  <c r="V104" i="12"/>
  <c r="W104" i="12"/>
  <c r="X104" i="12"/>
  <c r="AP104" i="12" s="1"/>
  <c r="AQ104" i="12"/>
  <c r="AW104" i="12"/>
  <c r="D105" i="12"/>
  <c r="V105" i="12"/>
  <c r="W105" i="12"/>
  <c r="X105" i="12"/>
  <c r="AW105" i="12"/>
  <c r="D106" i="12"/>
  <c r="U106" i="12"/>
  <c r="V106" i="12"/>
  <c r="W106" i="12"/>
  <c r="X106" i="12"/>
  <c r="AP106" i="12" s="1"/>
  <c r="AQ106" i="12"/>
  <c r="AW106" i="12"/>
  <c r="D107" i="12"/>
  <c r="V107" i="12"/>
  <c r="W107" i="12"/>
  <c r="X107" i="12"/>
  <c r="AW107" i="12"/>
  <c r="D108" i="12"/>
  <c r="U108" i="12"/>
  <c r="V108" i="12"/>
  <c r="W108" i="12"/>
  <c r="X108" i="12"/>
  <c r="AP108" i="12" s="1"/>
  <c r="AQ108" i="12"/>
  <c r="AW108" i="12"/>
  <c r="D109" i="12"/>
  <c r="V109" i="12"/>
  <c r="W109" i="12"/>
  <c r="X109" i="12"/>
  <c r="AW109" i="12"/>
  <c r="D110" i="12"/>
  <c r="U110" i="12"/>
  <c r="V110" i="12"/>
  <c r="W110" i="12"/>
  <c r="X110" i="12"/>
  <c r="AP110" i="12" s="1"/>
  <c r="AQ110" i="12"/>
  <c r="AW110" i="12"/>
  <c r="D111" i="12"/>
  <c r="V111" i="12"/>
  <c r="W111" i="12"/>
  <c r="X111" i="12"/>
  <c r="AW111" i="12"/>
  <c r="D112" i="12"/>
  <c r="U112" i="12"/>
  <c r="V112" i="12"/>
  <c r="W112" i="12"/>
  <c r="X112" i="12"/>
  <c r="AP112" i="12" s="1"/>
  <c r="AQ112" i="12"/>
  <c r="AW112" i="12"/>
  <c r="D113" i="12"/>
  <c r="V113" i="12"/>
  <c r="W113" i="12"/>
  <c r="X113" i="12"/>
  <c r="AW113" i="12"/>
  <c r="D114" i="12"/>
  <c r="U114" i="12"/>
  <c r="V114" i="12"/>
  <c r="W114" i="12"/>
  <c r="X114" i="12"/>
  <c r="AP114" i="12" s="1"/>
  <c r="AQ114" i="12"/>
  <c r="AW114" i="12"/>
  <c r="D115" i="12"/>
  <c r="V115" i="12"/>
  <c r="W115" i="12"/>
  <c r="X115" i="12"/>
  <c r="AW115" i="12"/>
  <c r="D116" i="12"/>
  <c r="U116" i="12"/>
  <c r="V116" i="12"/>
  <c r="W116" i="12"/>
  <c r="X116" i="12"/>
  <c r="AP116" i="12" s="1"/>
  <c r="AQ116" i="12"/>
  <c r="AW116" i="12"/>
  <c r="D117" i="12"/>
  <c r="V117" i="12"/>
  <c r="W117" i="12"/>
  <c r="X117" i="12"/>
  <c r="AW117" i="12"/>
  <c r="D118" i="12"/>
  <c r="U118" i="12"/>
  <c r="V118" i="12"/>
  <c r="W118" i="12"/>
  <c r="X118" i="12"/>
  <c r="AP118" i="12" s="1"/>
  <c r="AQ118" i="12"/>
  <c r="AW118" i="12"/>
  <c r="D119" i="12"/>
  <c r="V119" i="12"/>
  <c r="W119" i="12"/>
  <c r="X119" i="12"/>
  <c r="AW119" i="12"/>
  <c r="D120" i="12"/>
  <c r="U120" i="12"/>
  <c r="V120" i="12"/>
  <c r="W120" i="12"/>
  <c r="X120" i="12"/>
  <c r="AP120" i="12" s="1"/>
  <c r="AQ120" i="12"/>
  <c r="AW120" i="12"/>
  <c r="D121" i="12"/>
  <c r="V121" i="12"/>
  <c r="W121" i="12"/>
  <c r="X121" i="12"/>
  <c r="AW121" i="12"/>
  <c r="D122" i="12"/>
  <c r="U122" i="12"/>
  <c r="V122" i="12"/>
  <c r="W122" i="12"/>
  <c r="X122" i="12"/>
  <c r="AP122" i="12" s="1"/>
  <c r="AQ122" i="12"/>
  <c r="AW122" i="12"/>
  <c r="D123" i="12"/>
  <c r="V123" i="12"/>
  <c r="W123" i="12"/>
  <c r="X123" i="12"/>
  <c r="AW123" i="12"/>
  <c r="D124" i="12"/>
  <c r="U124" i="12"/>
  <c r="V124" i="12"/>
  <c r="W124" i="12"/>
  <c r="X124" i="12"/>
  <c r="AP124" i="12" s="1"/>
  <c r="AQ124" i="12"/>
  <c r="AW124" i="12"/>
  <c r="D125" i="12"/>
  <c r="V125" i="12"/>
  <c r="W125" i="12"/>
  <c r="X125" i="12"/>
  <c r="AW125" i="12"/>
  <c r="D126" i="12"/>
  <c r="U126" i="12"/>
  <c r="V126" i="12"/>
  <c r="W126" i="12"/>
  <c r="X126" i="12"/>
  <c r="AP126" i="12" s="1"/>
  <c r="AQ126" i="12"/>
  <c r="AW126" i="12"/>
  <c r="D127" i="12"/>
  <c r="V127" i="12"/>
  <c r="W127" i="12"/>
  <c r="X127" i="12"/>
  <c r="AW127" i="12"/>
  <c r="D128" i="12"/>
  <c r="U128" i="12"/>
  <c r="V128" i="12"/>
  <c r="W128" i="12"/>
  <c r="X128" i="12"/>
  <c r="AP128" i="12" s="1"/>
  <c r="AQ128" i="12"/>
  <c r="AW128" i="12"/>
  <c r="D129" i="12"/>
  <c r="V129" i="12"/>
  <c r="W129" i="12"/>
  <c r="X129" i="12"/>
  <c r="AW129" i="12"/>
  <c r="D130" i="12"/>
  <c r="U130" i="12"/>
  <c r="V130" i="12"/>
  <c r="W130" i="12"/>
  <c r="X130" i="12"/>
  <c r="AP130" i="12" s="1"/>
  <c r="AQ130" i="12"/>
  <c r="AW130" i="12"/>
  <c r="D131" i="12"/>
  <c r="V131" i="12"/>
  <c r="W131" i="12"/>
  <c r="X131" i="12"/>
  <c r="AW131" i="12"/>
  <c r="D132" i="12"/>
  <c r="U132" i="12"/>
  <c r="V132" i="12"/>
  <c r="W132" i="12"/>
  <c r="X132" i="12"/>
  <c r="AP132" i="12" s="1"/>
  <c r="AQ132" i="12"/>
  <c r="AW132" i="12"/>
  <c r="D133" i="12"/>
  <c r="V133" i="12"/>
  <c r="W133" i="12"/>
  <c r="X133" i="12"/>
  <c r="AW133" i="12"/>
  <c r="D134" i="12"/>
  <c r="U134" i="12"/>
  <c r="V134" i="12"/>
  <c r="W134" i="12"/>
  <c r="X134" i="12"/>
  <c r="AP134" i="12" s="1"/>
  <c r="AQ134" i="12"/>
  <c r="AW134" i="12"/>
  <c r="D135" i="12"/>
  <c r="V135" i="12"/>
  <c r="W135" i="12"/>
  <c r="X135" i="12"/>
  <c r="AW135" i="12"/>
  <c r="D136" i="12"/>
  <c r="U136" i="12"/>
  <c r="V136" i="12"/>
  <c r="W136" i="12"/>
  <c r="X136" i="12"/>
  <c r="AP136" i="12" s="1"/>
  <c r="AQ136" i="12"/>
  <c r="AW136" i="12"/>
  <c r="D137" i="12"/>
  <c r="V137" i="12"/>
  <c r="W137" i="12"/>
  <c r="X137" i="12"/>
  <c r="AW137" i="12"/>
  <c r="D138" i="12"/>
  <c r="U138" i="12"/>
  <c r="V138" i="12"/>
  <c r="W138" i="12"/>
  <c r="X138" i="12"/>
  <c r="AP138" i="12" s="1"/>
  <c r="AQ138" i="12"/>
  <c r="AW138" i="12"/>
  <c r="D139" i="12"/>
  <c r="V139" i="12"/>
  <c r="W139" i="12"/>
  <c r="X139" i="12"/>
  <c r="AW139" i="12"/>
  <c r="D140" i="12"/>
  <c r="U140" i="12"/>
  <c r="V140" i="12"/>
  <c r="W140" i="12"/>
  <c r="X140" i="12"/>
  <c r="AP140" i="12" s="1"/>
  <c r="AQ140" i="12"/>
  <c r="AW140" i="12"/>
  <c r="D141" i="12"/>
  <c r="V141" i="12"/>
  <c r="W141" i="12"/>
  <c r="X141" i="12"/>
  <c r="AW141" i="12"/>
  <c r="D142" i="12"/>
  <c r="U142" i="12"/>
  <c r="V142" i="12"/>
  <c r="W142" i="12"/>
  <c r="X142" i="12"/>
  <c r="AP142" i="12" s="1"/>
  <c r="AQ142" i="12"/>
  <c r="AW142" i="12"/>
  <c r="D143" i="12"/>
  <c r="V143" i="12"/>
  <c r="W143" i="12"/>
  <c r="X143" i="12"/>
  <c r="AW143" i="12"/>
  <c r="D144" i="12"/>
  <c r="U144" i="12"/>
  <c r="V144" i="12"/>
  <c r="W144" i="12"/>
  <c r="X144" i="12"/>
  <c r="AP144" i="12" s="1"/>
  <c r="AQ144" i="12"/>
  <c r="AW144" i="12"/>
  <c r="D145" i="12"/>
  <c r="V145" i="12"/>
  <c r="W145" i="12"/>
  <c r="X145" i="12"/>
  <c r="AW145" i="12"/>
  <c r="D146" i="12"/>
  <c r="U146" i="12"/>
  <c r="V146" i="12"/>
  <c r="W146" i="12"/>
  <c r="X146" i="12"/>
  <c r="AP146" i="12" s="1"/>
  <c r="AQ146" i="12"/>
  <c r="AW146" i="12"/>
  <c r="D147" i="12"/>
  <c r="V147" i="12"/>
  <c r="W147" i="12"/>
  <c r="X147" i="12"/>
  <c r="AW147" i="12"/>
  <c r="D148" i="12"/>
  <c r="U148" i="12"/>
  <c r="V148" i="12"/>
  <c r="W148" i="12"/>
  <c r="X148" i="12"/>
  <c r="AP148" i="12" s="1"/>
  <c r="AQ148" i="12"/>
  <c r="AW148" i="12"/>
  <c r="D149" i="12"/>
  <c r="V149" i="12"/>
  <c r="W149" i="12"/>
  <c r="X149" i="12"/>
  <c r="AW149" i="12"/>
  <c r="D150" i="12"/>
  <c r="U150" i="12"/>
  <c r="V150" i="12"/>
  <c r="W150" i="12"/>
  <c r="X150" i="12"/>
  <c r="AP150" i="12" s="1"/>
  <c r="AQ150" i="12"/>
  <c r="AW150" i="12"/>
  <c r="D151" i="12"/>
  <c r="V151" i="12"/>
  <c r="W151" i="12"/>
  <c r="X151" i="12"/>
  <c r="AW151" i="12"/>
  <c r="D152" i="12"/>
  <c r="U152" i="12"/>
  <c r="V152" i="12"/>
  <c r="W152" i="12"/>
  <c r="X152" i="12"/>
  <c r="AP152" i="12" s="1"/>
  <c r="AQ152" i="12"/>
  <c r="AW152" i="12"/>
  <c r="D153" i="12"/>
  <c r="V153" i="12"/>
  <c r="W153" i="12"/>
  <c r="X153" i="12"/>
  <c r="AW153" i="12"/>
  <c r="D154" i="12"/>
  <c r="U154" i="12"/>
  <c r="V154" i="12"/>
  <c r="W154" i="12"/>
  <c r="X154" i="12"/>
  <c r="AP154" i="12" s="1"/>
  <c r="AQ154" i="12"/>
  <c r="AW154" i="12"/>
  <c r="D155" i="12"/>
  <c r="V155" i="12"/>
  <c r="W155" i="12"/>
  <c r="X155" i="12"/>
  <c r="AW155" i="12"/>
  <c r="D156" i="12"/>
  <c r="U156" i="12"/>
  <c r="V156" i="12"/>
  <c r="W156" i="12"/>
  <c r="X156" i="12"/>
  <c r="AP156" i="12" s="1"/>
  <c r="AQ156" i="12"/>
  <c r="AW156" i="12"/>
  <c r="D157" i="12"/>
  <c r="V157" i="12"/>
  <c r="W157" i="12"/>
  <c r="X157" i="12"/>
  <c r="AW157" i="12"/>
  <c r="D158" i="12"/>
  <c r="U158" i="12"/>
  <c r="V158" i="12"/>
  <c r="W158" i="12"/>
  <c r="X158" i="12"/>
  <c r="AP158" i="12" s="1"/>
  <c r="AQ158" i="12"/>
  <c r="AW158" i="12"/>
  <c r="D159" i="12"/>
  <c r="V159" i="12"/>
  <c r="W159" i="12"/>
  <c r="X159" i="12"/>
  <c r="AW159" i="12"/>
  <c r="D160" i="12"/>
  <c r="U160" i="12"/>
  <c r="V160" i="12"/>
  <c r="W160" i="12"/>
  <c r="X160" i="12"/>
  <c r="AP160" i="12" s="1"/>
  <c r="AQ160" i="12"/>
  <c r="AW160" i="12"/>
  <c r="D161" i="12"/>
  <c r="V161" i="12"/>
  <c r="W161" i="12"/>
  <c r="X161" i="12"/>
  <c r="AW161" i="12"/>
  <c r="D162" i="12"/>
  <c r="U162" i="12"/>
  <c r="V162" i="12"/>
  <c r="W162" i="12"/>
  <c r="X162" i="12"/>
  <c r="AP162" i="12" s="1"/>
  <c r="AQ162" i="12"/>
  <c r="AW162" i="12"/>
  <c r="D163" i="12"/>
  <c r="V163" i="12"/>
  <c r="W163" i="12"/>
  <c r="X163" i="12"/>
  <c r="AW163" i="12"/>
  <c r="D164" i="12"/>
  <c r="U164" i="12"/>
  <c r="V164" i="12"/>
  <c r="W164" i="12"/>
  <c r="X164" i="12"/>
  <c r="AP164" i="12" s="1"/>
  <c r="AQ164" i="12"/>
  <c r="AW164" i="12"/>
  <c r="D165" i="12"/>
  <c r="V165" i="12"/>
  <c r="W165" i="12"/>
  <c r="X165" i="12"/>
  <c r="AW165" i="12"/>
  <c r="D166" i="12"/>
  <c r="U166" i="12"/>
  <c r="V166" i="12"/>
  <c r="W166" i="12"/>
  <c r="X166" i="12"/>
  <c r="AP166" i="12" s="1"/>
  <c r="AQ166" i="12"/>
  <c r="AW166" i="12"/>
  <c r="D167" i="12"/>
  <c r="V167" i="12"/>
  <c r="W167" i="12"/>
  <c r="X167" i="12"/>
  <c r="AW167" i="12"/>
  <c r="D168" i="12"/>
  <c r="U168" i="12"/>
  <c r="V168" i="12"/>
  <c r="W168" i="12"/>
  <c r="X168" i="12"/>
  <c r="AP168" i="12" s="1"/>
  <c r="AQ168" i="12"/>
  <c r="AW168" i="12"/>
  <c r="D169" i="12"/>
  <c r="V169" i="12"/>
  <c r="W169" i="12"/>
  <c r="X169" i="12"/>
  <c r="AW169" i="12"/>
  <c r="D170" i="12"/>
  <c r="U170" i="12"/>
  <c r="V170" i="12"/>
  <c r="W170" i="12"/>
  <c r="X170" i="12"/>
  <c r="AP170" i="12" s="1"/>
  <c r="AQ170" i="12"/>
  <c r="AW170" i="12"/>
  <c r="D171" i="12"/>
  <c r="V171" i="12"/>
  <c r="W171" i="12"/>
  <c r="X171" i="12"/>
  <c r="AW171" i="12"/>
  <c r="D172" i="12"/>
  <c r="U172" i="12"/>
  <c r="V172" i="12"/>
  <c r="W172" i="12"/>
  <c r="X172" i="12"/>
  <c r="AP172" i="12" s="1"/>
  <c r="AQ172" i="12"/>
  <c r="AW172" i="12"/>
  <c r="D173" i="12"/>
  <c r="V173" i="12"/>
  <c r="W173" i="12"/>
  <c r="X173" i="12"/>
  <c r="AW173" i="12"/>
  <c r="D174" i="12"/>
  <c r="U174" i="12"/>
  <c r="V174" i="12"/>
  <c r="W174" i="12"/>
  <c r="X174" i="12"/>
  <c r="AP174" i="12" s="1"/>
  <c r="AQ174" i="12"/>
  <c r="AW174" i="12"/>
  <c r="D175" i="12"/>
  <c r="V175" i="12"/>
  <c r="W175" i="12"/>
  <c r="X175" i="12"/>
  <c r="AW175" i="12"/>
  <c r="D176" i="12"/>
  <c r="U176" i="12"/>
  <c r="V176" i="12"/>
  <c r="W176" i="12"/>
  <c r="X176" i="12"/>
  <c r="AP176" i="12" s="1"/>
  <c r="AQ176" i="12"/>
  <c r="AW176" i="12"/>
  <c r="D177" i="12"/>
  <c r="V177" i="12"/>
  <c r="W177" i="12"/>
  <c r="X177" i="12"/>
  <c r="AW177" i="12"/>
  <c r="D178" i="12"/>
  <c r="U178" i="12"/>
  <c r="V178" i="12"/>
  <c r="W178" i="12"/>
  <c r="X178" i="12"/>
  <c r="AP178" i="12" s="1"/>
  <c r="AQ178" i="12"/>
  <c r="AW178" i="12"/>
  <c r="D179" i="12"/>
  <c r="V179" i="12"/>
  <c r="W179" i="12"/>
  <c r="X179" i="12"/>
  <c r="AW179" i="12"/>
  <c r="D180" i="12"/>
  <c r="U180" i="12"/>
  <c r="V180" i="12"/>
  <c r="W180" i="12"/>
  <c r="X180" i="12"/>
  <c r="AP180" i="12" s="1"/>
  <c r="AQ180" i="12"/>
  <c r="AW180" i="12"/>
  <c r="D181" i="12"/>
  <c r="V181" i="12"/>
  <c r="W181" i="12"/>
  <c r="X181" i="12"/>
  <c r="AW181" i="12"/>
  <c r="D182" i="12"/>
  <c r="U182" i="12"/>
  <c r="V182" i="12"/>
  <c r="W182" i="12"/>
  <c r="X182" i="12"/>
  <c r="AP182" i="12" s="1"/>
  <c r="AQ182" i="12"/>
  <c r="AW182" i="12"/>
  <c r="D183" i="12"/>
  <c r="V183" i="12"/>
  <c r="W183" i="12"/>
  <c r="X183" i="12"/>
  <c r="AW183" i="12"/>
  <c r="D184" i="12"/>
  <c r="U184" i="12"/>
  <c r="V184" i="12"/>
  <c r="W184" i="12"/>
  <c r="X184" i="12"/>
  <c r="AP184" i="12" s="1"/>
  <c r="AQ184" i="12"/>
  <c r="AW184" i="12"/>
  <c r="D185" i="12"/>
  <c r="V185" i="12"/>
  <c r="W185" i="12"/>
  <c r="X185" i="12"/>
  <c r="AW185" i="12"/>
  <c r="D186" i="12"/>
  <c r="U186" i="12"/>
  <c r="V186" i="12"/>
  <c r="W186" i="12"/>
  <c r="X186" i="12"/>
  <c r="AP186" i="12" s="1"/>
  <c r="AQ186" i="12"/>
  <c r="AW186" i="12"/>
  <c r="D187" i="12"/>
  <c r="V187" i="12"/>
  <c r="W187" i="12"/>
  <c r="X187" i="12"/>
  <c r="AW187" i="12"/>
  <c r="D188" i="12"/>
  <c r="U188" i="12"/>
  <c r="V188" i="12"/>
  <c r="W188" i="12"/>
  <c r="X188" i="12"/>
  <c r="AP188" i="12" s="1"/>
  <c r="AQ188" i="12"/>
  <c r="AW188" i="12"/>
  <c r="D189" i="12"/>
  <c r="V189" i="12"/>
  <c r="W189" i="12"/>
  <c r="X189" i="12"/>
  <c r="AW189" i="12"/>
  <c r="D190" i="12"/>
  <c r="U190" i="12"/>
  <c r="V190" i="12"/>
  <c r="W190" i="12"/>
  <c r="X190" i="12"/>
  <c r="AP190" i="12" s="1"/>
  <c r="AQ190" i="12"/>
  <c r="AW190" i="12"/>
  <c r="D191" i="12"/>
  <c r="V191" i="12"/>
  <c r="W191" i="12"/>
  <c r="X191" i="12"/>
  <c r="AW191" i="12"/>
  <c r="D192" i="12"/>
  <c r="U192" i="12"/>
  <c r="V192" i="12"/>
  <c r="W192" i="12"/>
  <c r="X192" i="12"/>
  <c r="AP192" i="12" s="1"/>
  <c r="AQ192" i="12"/>
  <c r="AW192" i="12"/>
  <c r="D193" i="12"/>
  <c r="V193" i="12"/>
  <c r="W193" i="12"/>
  <c r="X193" i="12"/>
  <c r="AW193" i="12"/>
  <c r="D194" i="12"/>
  <c r="U194" i="12"/>
  <c r="V194" i="12"/>
  <c r="W194" i="12"/>
  <c r="X194" i="12"/>
  <c r="AP194" i="12" s="1"/>
  <c r="AQ194" i="12"/>
  <c r="AW194" i="12"/>
  <c r="D195" i="12"/>
  <c r="V195" i="12"/>
  <c r="W195" i="12"/>
  <c r="X195" i="12"/>
  <c r="AW195" i="12"/>
  <c r="D196" i="12"/>
  <c r="U196" i="12"/>
  <c r="V196" i="12"/>
  <c r="W196" i="12"/>
  <c r="X196" i="12"/>
  <c r="AP196" i="12" s="1"/>
  <c r="AQ196" i="12"/>
  <c r="AW196" i="12"/>
  <c r="D197" i="12"/>
  <c r="V197" i="12"/>
  <c r="W197" i="12"/>
  <c r="X197" i="12"/>
  <c r="AW197" i="12"/>
  <c r="D198" i="12"/>
  <c r="U198" i="12"/>
  <c r="V198" i="12"/>
  <c r="W198" i="12"/>
  <c r="X198" i="12"/>
  <c r="AP198" i="12" s="1"/>
  <c r="AQ198" i="12"/>
  <c r="AW198" i="12"/>
  <c r="D199" i="12"/>
  <c r="V199" i="12"/>
  <c r="W199" i="12"/>
  <c r="X199" i="12"/>
  <c r="AW199" i="12"/>
  <c r="D200" i="12"/>
  <c r="U200" i="12"/>
  <c r="V200" i="12"/>
  <c r="W200" i="12"/>
  <c r="X200" i="12"/>
  <c r="AP200" i="12" s="1"/>
  <c r="AQ200" i="12"/>
  <c r="AW200" i="12"/>
  <c r="D201" i="12"/>
  <c r="V201" i="12"/>
  <c r="W201" i="12"/>
  <c r="X201" i="12"/>
  <c r="AW201" i="12"/>
  <c r="D202" i="12"/>
  <c r="U202" i="12"/>
  <c r="V202" i="12"/>
  <c r="W202" i="12"/>
  <c r="X202" i="12"/>
  <c r="AP202" i="12" s="1"/>
  <c r="AQ202" i="12"/>
  <c r="AW202" i="12"/>
  <c r="D203" i="12"/>
  <c r="V203" i="12"/>
  <c r="W203" i="12"/>
  <c r="X203" i="12"/>
  <c r="AW203" i="12"/>
  <c r="D204" i="12"/>
  <c r="U204" i="12"/>
  <c r="V204" i="12"/>
  <c r="W204" i="12"/>
  <c r="X204" i="12"/>
  <c r="AP204" i="12" s="1"/>
  <c r="AQ204" i="12"/>
  <c r="AW204" i="12"/>
  <c r="D205" i="12"/>
  <c r="V205" i="12"/>
  <c r="W205" i="12"/>
  <c r="X205" i="12"/>
  <c r="AW205" i="12"/>
  <c r="D206" i="12"/>
  <c r="U206" i="12"/>
  <c r="V206" i="12"/>
  <c r="W206" i="12"/>
  <c r="X206" i="12"/>
  <c r="AP206" i="12" s="1"/>
  <c r="AQ206" i="12"/>
  <c r="AW206" i="12"/>
  <c r="D207" i="12"/>
  <c r="V207" i="12"/>
  <c r="W207" i="12"/>
  <c r="X207" i="12"/>
  <c r="AW207" i="12"/>
  <c r="D208" i="12"/>
  <c r="U208" i="12"/>
  <c r="V208" i="12"/>
  <c r="W208" i="12"/>
  <c r="X208" i="12"/>
  <c r="AP208" i="12" s="1"/>
  <c r="AQ208" i="12"/>
  <c r="AW208" i="12"/>
  <c r="D209" i="12"/>
  <c r="V209" i="12"/>
  <c r="W209" i="12"/>
  <c r="X209" i="12"/>
  <c r="AW209" i="12"/>
  <c r="D210" i="12"/>
  <c r="U210" i="12"/>
  <c r="V210" i="12"/>
  <c r="W210" i="12"/>
  <c r="X210" i="12"/>
  <c r="AP210" i="12" s="1"/>
  <c r="AQ210" i="12"/>
  <c r="AW210" i="12"/>
  <c r="D211" i="12"/>
  <c r="V211" i="12"/>
  <c r="W211" i="12"/>
  <c r="X211" i="12"/>
  <c r="AW211" i="12"/>
  <c r="D212" i="12"/>
  <c r="U212" i="12"/>
  <c r="V212" i="12"/>
  <c r="W212" i="12"/>
  <c r="X212" i="12"/>
  <c r="AP212" i="12" s="1"/>
  <c r="AQ212" i="12"/>
  <c r="AW212" i="12"/>
  <c r="D213" i="12"/>
  <c r="V213" i="12"/>
  <c r="W213" i="12"/>
  <c r="X213" i="12"/>
  <c r="AW213" i="12"/>
  <c r="D214" i="12"/>
  <c r="U214" i="12"/>
  <c r="V214" i="12"/>
  <c r="W214" i="12"/>
  <c r="X214" i="12"/>
  <c r="AP214" i="12" s="1"/>
  <c r="AQ214" i="12"/>
  <c r="AW214" i="12"/>
  <c r="D215" i="12"/>
  <c r="V215" i="12"/>
  <c r="W215" i="12"/>
  <c r="X215" i="12"/>
  <c r="AW215" i="12"/>
  <c r="D216" i="12"/>
  <c r="U216" i="12"/>
  <c r="V216" i="12"/>
  <c r="W216" i="12"/>
  <c r="X216" i="12"/>
  <c r="AP216" i="12" s="1"/>
  <c r="AQ216" i="12"/>
  <c r="AW216" i="12"/>
  <c r="D217" i="12"/>
  <c r="V217" i="12"/>
  <c r="W217" i="12"/>
  <c r="X217" i="12"/>
  <c r="AW217" i="12"/>
  <c r="D218" i="12"/>
  <c r="U218" i="12"/>
  <c r="V218" i="12"/>
  <c r="W218" i="12"/>
  <c r="X218" i="12"/>
  <c r="AP218" i="12" s="1"/>
  <c r="AQ218" i="12"/>
  <c r="AW218" i="12"/>
  <c r="D219" i="12"/>
  <c r="V219" i="12"/>
  <c r="W219" i="12"/>
  <c r="X219" i="12"/>
  <c r="AW219" i="12"/>
  <c r="D220" i="12"/>
  <c r="U220" i="12"/>
  <c r="V220" i="12"/>
  <c r="W220" i="12"/>
  <c r="X220" i="12"/>
  <c r="AP220" i="12" s="1"/>
  <c r="AQ220" i="12"/>
  <c r="AW220" i="12"/>
  <c r="D221" i="12"/>
  <c r="V221" i="12"/>
  <c r="W221" i="12"/>
  <c r="X221" i="12"/>
  <c r="AW221" i="12"/>
  <c r="D222" i="12"/>
  <c r="U222" i="12"/>
  <c r="V222" i="12"/>
  <c r="W222" i="12"/>
  <c r="X222" i="12"/>
  <c r="AP222" i="12" s="1"/>
  <c r="AQ222" i="12"/>
  <c r="AW222" i="12"/>
  <c r="D223" i="12"/>
  <c r="V223" i="12"/>
  <c r="W223" i="12"/>
  <c r="X223" i="12"/>
  <c r="AW223" i="12"/>
  <c r="D224" i="12"/>
  <c r="U224" i="12"/>
  <c r="V224" i="12"/>
  <c r="W224" i="12"/>
  <c r="X224" i="12"/>
  <c r="AP224" i="12" s="1"/>
  <c r="AQ224" i="12"/>
  <c r="AW224" i="12"/>
  <c r="D225" i="12"/>
  <c r="V225" i="12"/>
  <c r="W225" i="12"/>
  <c r="X225" i="12"/>
  <c r="AW225" i="12"/>
  <c r="D226" i="12"/>
  <c r="U226" i="12"/>
  <c r="V226" i="12"/>
  <c r="W226" i="12"/>
  <c r="X226" i="12"/>
  <c r="AP226" i="12" s="1"/>
  <c r="AQ226" i="12"/>
  <c r="AW226" i="12"/>
  <c r="D227" i="12"/>
  <c r="V227" i="12"/>
  <c r="W227" i="12"/>
  <c r="X227" i="12"/>
  <c r="AW227" i="12"/>
  <c r="D228" i="12"/>
  <c r="U228" i="12"/>
  <c r="V228" i="12"/>
  <c r="W228" i="12"/>
  <c r="X228" i="12"/>
  <c r="AP228" i="12" s="1"/>
  <c r="AQ228" i="12"/>
  <c r="AW228" i="12"/>
  <c r="D229" i="12"/>
  <c r="V229" i="12"/>
  <c r="W229" i="12"/>
  <c r="X229" i="12"/>
  <c r="AW229" i="12"/>
  <c r="D230" i="12"/>
  <c r="U230" i="12"/>
  <c r="V230" i="12"/>
  <c r="W230" i="12"/>
  <c r="X230" i="12"/>
  <c r="AP230" i="12" s="1"/>
  <c r="AQ230" i="12"/>
  <c r="AW230" i="12"/>
  <c r="D231" i="12"/>
  <c r="V231" i="12"/>
  <c r="W231" i="12"/>
  <c r="X231" i="12"/>
  <c r="AW231" i="12"/>
  <c r="D232" i="12"/>
  <c r="U232" i="12"/>
  <c r="V232" i="12"/>
  <c r="W232" i="12"/>
  <c r="X232" i="12"/>
  <c r="AP232" i="12" s="1"/>
  <c r="AQ232" i="12"/>
  <c r="AW232" i="12"/>
  <c r="D233" i="12"/>
  <c r="V233" i="12"/>
  <c r="W233" i="12"/>
  <c r="X233" i="12"/>
  <c r="AW233" i="12"/>
  <c r="D234" i="12"/>
  <c r="U234" i="12"/>
  <c r="V234" i="12"/>
  <c r="W234" i="12"/>
  <c r="X234" i="12"/>
  <c r="AP234" i="12" s="1"/>
  <c r="AQ234" i="12"/>
  <c r="AW234" i="12"/>
  <c r="D235" i="12"/>
  <c r="V235" i="12"/>
  <c r="W235" i="12"/>
  <c r="X235" i="12"/>
  <c r="AW235" i="12"/>
  <c r="D236" i="12"/>
  <c r="U236" i="12"/>
  <c r="V236" i="12"/>
  <c r="W236" i="12"/>
  <c r="X236" i="12"/>
  <c r="AP236" i="12" s="1"/>
  <c r="AQ236" i="12"/>
  <c r="AW236" i="12"/>
  <c r="D237" i="12"/>
  <c r="V237" i="12"/>
  <c r="W237" i="12"/>
  <c r="X237" i="12"/>
  <c r="AW237" i="12"/>
  <c r="D238" i="12"/>
  <c r="U238" i="12"/>
  <c r="V238" i="12"/>
  <c r="W238" i="12"/>
  <c r="X238" i="12"/>
  <c r="AP238" i="12" s="1"/>
  <c r="AQ238" i="12"/>
  <c r="AW238" i="12"/>
  <c r="D239" i="12"/>
  <c r="V239" i="12"/>
  <c r="W239" i="12"/>
  <c r="X239" i="12"/>
  <c r="AW239" i="12"/>
  <c r="D240" i="12"/>
  <c r="U240" i="12"/>
  <c r="V240" i="12"/>
  <c r="W240" i="12"/>
  <c r="X240" i="12"/>
  <c r="AP240" i="12" s="1"/>
  <c r="AQ240" i="12"/>
  <c r="AW240" i="12"/>
  <c r="D241" i="12"/>
  <c r="V241" i="12"/>
  <c r="W241" i="12"/>
  <c r="X241" i="12"/>
  <c r="AW241" i="12"/>
  <c r="D242" i="12"/>
  <c r="U242" i="12"/>
  <c r="V242" i="12"/>
  <c r="W242" i="12"/>
  <c r="X242" i="12"/>
  <c r="AP242" i="12" s="1"/>
  <c r="AQ242" i="12"/>
  <c r="AW242" i="12"/>
  <c r="D243" i="12"/>
  <c r="V243" i="12"/>
  <c r="W243" i="12"/>
  <c r="X243" i="12"/>
  <c r="AW243" i="12"/>
  <c r="D244" i="12"/>
  <c r="U244" i="12"/>
  <c r="V244" i="12"/>
  <c r="W244" i="12"/>
  <c r="X244" i="12"/>
  <c r="AP244" i="12" s="1"/>
  <c r="AQ244" i="12"/>
  <c r="AW244" i="12"/>
  <c r="D245" i="12"/>
  <c r="V245" i="12"/>
  <c r="W245" i="12"/>
  <c r="X245" i="12"/>
  <c r="AW245" i="12"/>
  <c r="D246" i="12"/>
  <c r="U246" i="12"/>
  <c r="V246" i="12"/>
  <c r="W246" i="12"/>
  <c r="X246" i="12"/>
  <c r="AP246" i="12" s="1"/>
  <c r="AQ246" i="12"/>
  <c r="AW246" i="12"/>
  <c r="D247" i="12"/>
  <c r="V247" i="12"/>
  <c r="W247" i="12"/>
  <c r="X247" i="12"/>
  <c r="AW247" i="12"/>
  <c r="D248" i="12"/>
  <c r="U248" i="12"/>
  <c r="V248" i="12"/>
  <c r="W248" i="12"/>
  <c r="X248" i="12"/>
  <c r="AP248" i="12" s="1"/>
  <c r="AQ248" i="12"/>
  <c r="AW248" i="12"/>
  <c r="D249" i="12"/>
  <c r="V249" i="12"/>
  <c r="W249" i="12"/>
  <c r="X249" i="12"/>
  <c r="AW249" i="12"/>
  <c r="D250" i="12"/>
  <c r="U250" i="12"/>
  <c r="V250" i="12"/>
  <c r="W250" i="12"/>
  <c r="X250" i="12"/>
  <c r="AP250" i="12" s="1"/>
  <c r="AQ250" i="12"/>
  <c r="AW250" i="12"/>
  <c r="D251" i="12"/>
  <c r="V251" i="12"/>
  <c r="W251" i="12"/>
  <c r="X251" i="12"/>
  <c r="AW251" i="12"/>
  <c r="D252" i="12"/>
  <c r="U252" i="12"/>
  <c r="V252" i="12"/>
  <c r="W252" i="12"/>
  <c r="X252" i="12"/>
  <c r="AP252" i="12" s="1"/>
  <c r="AQ252" i="12"/>
  <c r="AW252" i="12"/>
  <c r="D253" i="12"/>
  <c r="V253" i="12"/>
  <c r="W253" i="12"/>
  <c r="X253" i="12"/>
  <c r="AW253" i="12"/>
  <c r="D254" i="12"/>
  <c r="U254" i="12"/>
  <c r="V254" i="12"/>
  <c r="W254" i="12"/>
  <c r="X254" i="12"/>
  <c r="AP254" i="12" s="1"/>
  <c r="AQ254" i="12"/>
  <c r="AW254" i="12"/>
  <c r="D255" i="12"/>
  <c r="V255" i="12"/>
  <c r="W255" i="12"/>
  <c r="X255" i="12"/>
  <c r="AW255" i="12"/>
  <c r="D256" i="12"/>
  <c r="U256" i="12"/>
  <c r="V256" i="12"/>
  <c r="W256" i="12"/>
  <c r="X256" i="12"/>
  <c r="AP256" i="12" s="1"/>
  <c r="AQ256" i="12"/>
  <c r="AW256" i="12"/>
  <c r="D257" i="12"/>
  <c r="V257" i="12"/>
  <c r="W257" i="12"/>
  <c r="X257" i="12"/>
  <c r="AW257" i="12"/>
  <c r="D258" i="12"/>
  <c r="U258" i="12"/>
  <c r="V258" i="12"/>
  <c r="W258" i="12"/>
  <c r="X258" i="12"/>
  <c r="AP258" i="12" s="1"/>
  <c r="AQ258" i="12"/>
  <c r="AW258" i="12"/>
  <c r="D259" i="12"/>
  <c r="V259" i="12"/>
  <c r="W259" i="12"/>
  <c r="X259" i="12"/>
  <c r="AW259" i="12"/>
  <c r="D260" i="12"/>
  <c r="U260" i="12"/>
  <c r="V260" i="12"/>
  <c r="W260" i="12"/>
  <c r="X260" i="12"/>
  <c r="AP260" i="12" s="1"/>
  <c r="AQ260" i="12"/>
  <c r="AW260" i="12"/>
  <c r="D261" i="12"/>
  <c r="V261" i="12"/>
  <c r="W261" i="12"/>
  <c r="X261" i="12"/>
  <c r="AW261" i="12"/>
  <c r="D262" i="12"/>
  <c r="U262" i="12"/>
  <c r="V262" i="12"/>
  <c r="W262" i="12"/>
  <c r="X262" i="12"/>
  <c r="AP262" i="12" s="1"/>
  <c r="AQ262" i="12"/>
  <c r="AW262" i="12"/>
  <c r="D263" i="12"/>
  <c r="V263" i="12"/>
  <c r="W263" i="12"/>
  <c r="X263" i="12"/>
  <c r="AW263" i="12"/>
  <c r="D264" i="12"/>
  <c r="U264" i="12"/>
  <c r="V264" i="12"/>
  <c r="W264" i="12"/>
  <c r="X264" i="12"/>
  <c r="AP264" i="12" s="1"/>
  <c r="AQ264" i="12"/>
  <c r="AW264" i="12"/>
  <c r="D265" i="12"/>
  <c r="V265" i="12"/>
  <c r="W265" i="12"/>
  <c r="X265" i="12"/>
  <c r="AW265" i="12"/>
  <c r="D266" i="12"/>
  <c r="U266" i="12"/>
  <c r="V266" i="12"/>
  <c r="W266" i="12"/>
  <c r="X266" i="12"/>
  <c r="AP266" i="12" s="1"/>
  <c r="AQ266" i="12"/>
  <c r="AW266" i="12"/>
  <c r="D267" i="12"/>
  <c r="V267" i="12"/>
  <c r="W267" i="12"/>
  <c r="X267" i="12"/>
  <c r="AW267" i="12"/>
  <c r="D268" i="12"/>
  <c r="U268" i="12"/>
  <c r="V268" i="12"/>
  <c r="W268" i="12"/>
  <c r="X268" i="12"/>
  <c r="AP268" i="12" s="1"/>
  <c r="AQ268" i="12"/>
  <c r="AW268" i="12"/>
  <c r="D269" i="12"/>
  <c r="V269" i="12"/>
  <c r="W269" i="12"/>
  <c r="X269" i="12"/>
  <c r="AW269" i="12"/>
  <c r="D270" i="12"/>
  <c r="U270" i="12"/>
  <c r="V270" i="12"/>
  <c r="W270" i="12"/>
  <c r="X270" i="12"/>
  <c r="AP270" i="12" s="1"/>
  <c r="AQ270" i="12"/>
  <c r="AW270" i="12"/>
  <c r="D271" i="12"/>
  <c r="V271" i="12"/>
  <c r="W271" i="12"/>
  <c r="X271" i="12"/>
  <c r="AW271" i="12"/>
  <c r="D272" i="12"/>
  <c r="U272" i="12"/>
  <c r="V272" i="12"/>
  <c r="W272" i="12"/>
  <c r="X272" i="12"/>
  <c r="AP272" i="12" s="1"/>
  <c r="AQ272" i="12"/>
  <c r="AW272" i="12"/>
  <c r="D273" i="12"/>
  <c r="V273" i="12"/>
  <c r="W273" i="12"/>
  <c r="X273" i="12"/>
  <c r="AW273" i="12"/>
  <c r="D274" i="12"/>
  <c r="U274" i="12"/>
  <c r="V274" i="12"/>
  <c r="W274" i="12"/>
  <c r="X274" i="12"/>
  <c r="AP274" i="12" s="1"/>
  <c r="AQ274" i="12"/>
  <c r="AW274" i="12"/>
  <c r="D275" i="12"/>
  <c r="V275" i="12"/>
  <c r="W275" i="12"/>
  <c r="X275" i="12"/>
  <c r="AW275" i="12"/>
  <c r="D276" i="12"/>
  <c r="U276" i="12"/>
  <c r="V276" i="12"/>
  <c r="W276" i="12"/>
  <c r="X276" i="12"/>
  <c r="AP276" i="12" s="1"/>
  <c r="AQ276" i="12"/>
  <c r="AW276" i="12"/>
  <c r="D277" i="12"/>
  <c r="V277" i="12"/>
  <c r="W277" i="12"/>
  <c r="X277" i="12"/>
  <c r="AW277" i="12"/>
  <c r="D278" i="12"/>
  <c r="U278" i="12"/>
  <c r="V278" i="12"/>
  <c r="W278" i="12"/>
  <c r="X278" i="12"/>
  <c r="AP278" i="12" s="1"/>
  <c r="AQ278" i="12"/>
  <c r="AW278" i="12"/>
  <c r="D279" i="12"/>
  <c r="V279" i="12"/>
  <c r="W279" i="12"/>
  <c r="X279" i="12"/>
  <c r="AW279" i="12"/>
  <c r="D280" i="12"/>
  <c r="U280" i="12"/>
  <c r="V280" i="12"/>
  <c r="W280" i="12"/>
  <c r="X280" i="12"/>
  <c r="AP280" i="12" s="1"/>
  <c r="AQ280" i="12"/>
  <c r="AW280" i="12"/>
  <c r="D281" i="12"/>
  <c r="V281" i="12"/>
  <c r="W281" i="12"/>
  <c r="X281" i="12"/>
  <c r="AW281" i="12"/>
  <c r="D282" i="12"/>
  <c r="U282" i="12"/>
  <c r="V282" i="12"/>
  <c r="W282" i="12"/>
  <c r="X282" i="12"/>
  <c r="AP282" i="12" s="1"/>
  <c r="AQ282" i="12"/>
  <c r="AW282" i="12"/>
  <c r="D283" i="12"/>
  <c r="V283" i="12"/>
  <c r="W283" i="12"/>
  <c r="X283" i="12"/>
  <c r="AW283" i="12"/>
  <c r="D284" i="12"/>
  <c r="U284" i="12"/>
  <c r="V284" i="12"/>
  <c r="W284" i="12"/>
  <c r="X284" i="12"/>
  <c r="AP284" i="12" s="1"/>
  <c r="AQ284" i="12"/>
  <c r="AW284" i="12"/>
  <c r="D285" i="12"/>
  <c r="V285" i="12"/>
  <c r="W285" i="12"/>
  <c r="X285" i="12"/>
  <c r="AW285" i="12"/>
  <c r="D286" i="12"/>
  <c r="U286" i="12"/>
  <c r="V286" i="12"/>
  <c r="W286" i="12"/>
  <c r="X286" i="12"/>
  <c r="AP286" i="12" s="1"/>
  <c r="AQ286" i="12"/>
  <c r="AW286" i="12"/>
  <c r="D287" i="12"/>
  <c r="V287" i="12"/>
  <c r="W287" i="12"/>
  <c r="X287" i="12"/>
  <c r="AW287" i="12"/>
  <c r="D288" i="12"/>
  <c r="U288" i="12"/>
  <c r="V288" i="12"/>
  <c r="W288" i="12"/>
  <c r="X288" i="12"/>
  <c r="AP288" i="12" s="1"/>
  <c r="AQ288" i="12"/>
  <c r="AW288" i="12"/>
  <c r="D289" i="12"/>
  <c r="V289" i="12"/>
  <c r="W289" i="12"/>
  <c r="X289" i="12"/>
  <c r="AW289" i="12"/>
  <c r="D290" i="12"/>
  <c r="U290" i="12"/>
  <c r="V290" i="12"/>
  <c r="W290" i="12"/>
  <c r="X290" i="12"/>
  <c r="AP290" i="12" s="1"/>
  <c r="AQ290" i="12"/>
  <c r="AW290" i="12"/>
  <c r="D291" i="12"/>
  <c r="V291" i="12"/>
  <c r="W291" i="12"/>
  <c r="X291" i="12"/>
  <c r="AW291" i="12"/>
  <c r="D292" i="12"/>
  <c r="U292" i="12"/>
  <c r="V292" i="12"/>
  <c r="W292" i="12"/>
  <c r="X292" i="12"/>
  <c r="AP292" i="12" s="1"/>
  <c r="AQ292" i="12"/>
  <c r="AW292" i="12"/>
  <c r="D293" i="12"/>
  <c r="V293" i="12"/>
  <c r="W293" i="12"/>
  <c r="X293" i="12"/>
  <c r="AW293" i="12"/>
  <c r="D294" i="12"/>
  <c r="U294" i="12"/>
  <c r="V294" i="12"/>
  <c r="W294" i="12"/>
  <c r="X294" i="12"/>
  <c r="AP294" i="12" s="1"/>
  <c r="AQ294" i="12"/>
  <c r="AW294" i="12"/>
  <c r="D295" i="12"/>
  <c r="V295" i="12"/>
  <c r="W295" i="12"/>
  <c r="X295" i="12"/>
  <c r="AW295" i="12"/>
  <c r="D296" i="12"/>
  <c r="U296" i="12"/>
  <c r="V296" i="12"/>
  <c r="W296" i="12"/>
  <c r="X296" i="12"/>
  <c r="AP296" i="12" s="1"/>
  <c r="AQ296" i="12"/>
  <c r="AW296" i="12"/>
  <c r="D297" i="12"/>
  <c r="V297" i="12"/>
  <c r="W297" i="12"/>
  <c r="X297" i="12"/>
  <c r="AW297" i="12"/>
  <c r="D298" i="12"/>
  <c r="U298" i="12"/>
  <c r="V298" i="12"/>
  <c r="W298" i="12"/>
  <c r="X298" i="12"/>
  <c r="AP298" i="12" s="1"/>
  <c r="AQ298" i="12"/>
  <c r="AW298" i="12"/>
  <c r="D299" i="12"/>
  <c r="V299" i="12"/>
  <c r="W299" i="12"/>
  <c r="X299" i="12"/>
  <c r="AW299" i="12"/>
  <c r="D300" i="12"/>
  <c r="U300" i="12"/>
  <c r="V300" i="12"/>
  <c r="W300" i="12"/>
  <c r="X300" i="12"/>
  <c r="AP300" i="12" s="1"/>
  <c r="AQ300" i="12"/>
  <c r="AW300" i="12"/>
  <c r="D301" i="12"/>
  <c r="V301" i="12"/>
  <c r="W301" i="12"/>
  <c r="X301" i="12"/>
  <c r="AW301" i="12"/>
  <c r="D302" i="12"/>
  <c r="U302" i="12"/>
  <c r="V302" i="12"/>
  <c r="W302" i="12"/>
  <c r="X302" i="12"/>
  <c r="AP302" i="12" s="1"/>
  <c r="AQ302" i="12"/>
  <c r="AW302" i="12"/>
  <c r="D303" i="12"/>
  <c r="V303" i="12"/>
  <c r="W303" i="12"/>
  <c r="X303" i="12"/>
  <c r="AW303" i="12"/>
  <c r="D304" i="12"/>
  <c r="U304" i="12"/>
  <c r="V304" i="12"/>
  <c r="W304" i="12"/>
  <c r="X304" i="12"/>
  <c r="AP304" i="12" s="1"/>
  <c r="AQ304" i="12"/>
  <c r="AW304" i="12"/>
  <c r="D305" i="12"/>
  <c r="V305" i="12"/>
  <c r="W305" i="12"/>
  <c r="X305" i="12"/>
  <c r="AW305" i="12"/>
  <c r="D306" i="12"/>
  <c r="U306" i="12"/>
  <c r="V306" i="12"/>
  <c r="W306" i="12"/>
  <c r="X306" i="12"/>
  <c r="AP306" i="12" s="1"/>
  <c r="AQ306" i="12"/>
  <c r="AW306" i="12"/>
  <c r="D307" i="12"/>
  <c r="V307" i="12"/>
  <c r="W307" i="12"/>
  <c r="X307" i="12"/>
  <c r="AW307" i="12"/>
  <c r="D308" i="12"/>
  <c r="U308" i="12"/>
  <c r="V308" i="12"/>
  <c r="W308" i="12"/>
  <c r="X308" i="12"/>
  <c r="AP308" i="12" s="1"/>
  <c r="AQ308" i="12"/>
  <c r="AW308" i="12"/>
  <c r="B7" i="9"/>
  <c r="B19" i="9"/>
  <c r="B33" i="9"/>
  <c r="B34" i="9"/>
  <c r="B36" i="9"/>
  <c r="B38" i="9"/>
  <c r="C45" i="9"/>
  <c r="C48" i="9"/>
  <c r="B121" i="9"/>
  <c r="B122" i="9"/>
  <c r="B123" i="9"/>
  <c r="B143" i="9"/>
  <c r="Y207" i="12" s="1"/>
  <c r="C143" i="9"/>
  <c r="C26" i="18" s="1"/>
  <c r="B144" i="9"/>
  <c r="C144" i="9"/>
  <c r="B145" i="9"/>
  <c r="C145" i="9"/>
  <c r="B146" i="9"/>
  <c r="C146" i="9"/>
  <c r="B147" i="9"/>
  <c r="C147" i="9"/>
  <c r="B148" i="9"/>
  <c r="C148" i="9"/>
  <c r="C149" i="9"/>
  <c r="B14" i="17"/>
  <c r="B15" i="17"/>
  <c r="B16" i="17" s="1"/>
  <c r="D15" i="18"/>
  <c r="B18" i="18"/>
  <c r="E26" i="18"/>
  <c r="C43" i="18"/>
  <c r="C45" i="18" s="1"/>
  <c r="D43" i="18"/>
  <c r="D45" i="18" s="1"/>
  <c r="G2" i="2"/>
  <c r="G21" i="2"/>
  <c r="E22" i="2"/>
  <c r="F22" i="2"/>
  <c r="G22" i="2"/>
  <c r="C25" i="2"/>
  <c r="D28" i="2"/>
  <c r="D44" i="2"/>
  <c r="D48" i="2" s="1"/>
  <c r="F44" i="2"/>
  <c r="F48" i="2" s="1"/>
  <c r="B22" i="9"/>
  <c r="B11" i="9"/>
  <c r="B6" i="9"/>
  <c r="C44" i="9"/>
  <c r="B18" i="9"/>
  <c r="Y234" i="12" l="1"/>
  <c r="AF234" i="12" s="1"/>
  <c r="AG234" i="12" s="1"/>
  <c r="M27" i="4"/>
  <c r="M25" i="4"/>
  <c r="M24" i="4"/>
  <c r="M23" i="4"/>
  <c r="M22" i="4"/>
  <c r="M21" i="4"/>
  <c r="M20" i="4"/>
  <c r="M10" i="4"/>
  <c r="R24" i="4"/>
  <c r="P11" i="4"/>
  <c r="M18" i="4"/>
  <c r="M17" i="4"/>
  <c r="M16" i="4"/>
  <c r="M15" i="4"/>
  <c r="M13" i="4"/>
  <c r="M12" i="4"/>
  <c r="M11" i="4"/>
  <c r="M14" i="4"/>
  <c r="B5" i="9"/>
  <c r="C49" i="9"/>
  <c r="C47" i="9"/>
  <c r="B23" i="9"/>
  <c r="B17" i="9"/>
  <c r="AA37" i="12" s="1"/>
  <c r="AE37" i="12" s="1"/>
  <c r="R25" i="4"/>
  <c r="F10" i="4"/>
  <c r="F18" i="4"/>
  <c r="G18" i="4" s="1"/>
  <c r="F16" i="4"/>
  <c r="G16" i="4" s="1"/>
  <c r="F15" i="4"/>
  <c r="G15" i="4" s="1"/>
  <c r="F14" i="4"/>
  <c r="G14" i="4" s="1"/>
  <c r="F13" i="4"/>
  <c r="G13" i="4" s="1"/>
  <c r="F11" i="4"/>
  <c r="G11" i="4" s="1"/>
  <c r="F17" i="4"/>
  <c r="G17" i="4" s="1"/>
  <c r="F12" i="4"/>
  <c r="G12" i="4" s="1"/>
  <c r="AA285" i="12"/>
  <c r="AE285" i="12" s="1"/>
  <c r="AA72" i="12"/>
  <c r="AE72" i="12" s="1"/>
  <c r="C44" i="1"/>
  <c r="C48" i="1" s="1"/>
  <c r="AA107" i="12"/>
  <c r="AE107" i="12" s="1"/>
  <c r="AA47" i="12"/>
  <c r="AE47" i="12" s="1"/>
  <c r="AA97" i="12"/>
  <c r="AE97" i="12" s="1"/>
  <c r="AA146" i="12"/>
  <c r="AE146" i="12" s="1"/>
  <c r="AA172" i="12"/>
  <c r="AE172" i="12" s="1"/>
  <c r="AA275" i="12"/>
  <c r="AE275" i="12" s="1"/>
  <c r="AA25" i="12"/>
  <c r="AE25" i="12" s="1"/>
  <c r="AA287" i="12"/>
  <c r="AE287" i="12" s="1"/>
  <c r="AA147" i="12"/>
  <c r="AE147" i="12" s="1"/>
  <c r="AA148" i="12"/>
  <c r="AE148" i="12" s="1"/>
  <c r="AA124" i="12"/>
  <c r="AE124" i="12" s="1"/>
  <c r="AA209" i="12"/>
  <c r="AE209" i="12" s="1"/>
  <c r="Y62" i="12"/>
  <c r="AF62" i="12" s="1"/>
  <c r="AG62" i="12" s="1"/>
  <c r="AA191" i="12"/>
  <c r="AE191" i="12" s="1"/>
  <c r="AA298" i="12"/>
  <c r="AE298" i="12" s="1"/>
  <c r="C21" i="1"/>
  <c r="AA118" i="12"/>
  <c r="AE118" i="12" s="1"/>
  <c r="AA248" i="12"/>
  <c r="AE248" i="12" s="1"/>
  <c r="Z234" i="12"/>
  <c r="AD234" i="12" s="1"/>
  <c r="Z248" i="12"/>
  <c r="AD248" i="12" s="1"/>
  <c r="Z175" i="12"/>
  <c r="AD175" i="12" s="1"/>
  <c r="Z86" i="12"/>
  <c r="AD86" i="12" s="1"/>
  <c r="Z160" i="12"/>
  <c r="AD160" i="12" s="1"/>
  <c r="Z245" i="12"/>
  <c r="AD245" i="12" s="1"/>
  <c r="Z51" i="12"/>
  <c r="AD51" i="12" s="1"/>
  <c r="Z279" i="12"/>
  <c r="AD279" i="12" s="1"/>
  <c r="Z48" i="12"/>
  <c r="AD48" i="12" s="1"/>
  <c r="Z191" i="12"/>
  <c r="AD191" i="12" s="1"/>
  <c r="Z256" i="12"/>
  <c r="AD256" i="12" s="1"/>
  <c r="Z164" i="12"/>
  <c r="AD164" i="12" s="1"/>
  <c r="Z96" i="12"/>
  <c r="AD96" i="12" s="1"/>
  <c r="Z231" i="12"/>
  <c r="AD231" i="12" s="1"/>
  <c r="Q17" i="4"/>
  <c r="R17" i="4" s="1"/>
  <c r="P17" i="4"/>
  <c r="Q14" i="4"/>
  <c r="R14" i="4" s="1"/>
  <c r="P21" i="4"/>
  <c r="P20" i="4"/>
  <c r="Q11" i="4"/>
  <c r="R11" i="4" s="1"/>
  <c r="P18" i="4"/>
  <c r="Q16" i="4"/>
  <c r="R16" i="4" s="1"/>
  <c r="P16" i="4"/>
  <c r="P14" i="4"/>
  <c r="Q13" i="4"/>
  <c r="R13" i="4" s="1"/>
  <c r="Q12" i="4"/>
  <c r="R12" i="4" s="1"/>
  <c r="P19" i="4"/>
  <c r="Q10" i="4"/>
  <c r="R10" i="4" s="1"/>
  <c r="R23" i="4"/>
  <c r="Q15" i="4"/>
  <c r="R15" i="4" s="1"/>
  <c r="P15" i="4"/>
  <c r="Q22" i="4"/>
  <c r="R22" i="4" s="1"/>
  <c r="P22" i="4"/>
  <c r="Q21" i="4"/>
  <c r="R21" i="4" s="1"/>
  <c r="P13" i="4"/>
  <c r="Q20" i="4"/>
  <c r="R20" i="4" s="1"/>
  <c r="Q19" i="4"/>
  <c r="R19" i="4" s="1"/>
  <c r="Q18" i="4"/>
  <c r="R18" i="4" s="1"/>
  <c r="P10" i="4"/>
  <c r="P12" i="4"/>
  <c r="Y87" i="12"/>
  <c r="AF87" i="12" s="1"/>
  <c r="AG87" i="12" s="1"/>
  <c r="Y142" i="12"/>
  <c r="AF142" i="12" s="1"/>
  <c r="AG142" i="12" s="1"/>
  <c r="Y60" i="12"/>
  <c r="AB60" i="12" s="1"/>
  <c r="AC60" i="12" s="1"/>
  <c r="Y190" i="12"/>
  <c r="AF190" i="12" s="1"/>
  <c r="AG190" i="12" s="1"/>
  <c r="Y227" i="12"/>
  <c r="AF227" i="12" s="1"/>
  <c r="AG227" i="12" s="1"/>
  <c r="Y89" i="12"/>
  <c r="AB89" i="12" s="1"/>
  <c r="Y245" i="12"/>
  <c r="AB245" i="12" s="1"/>
  <c r="AC245" i="12" s="1"/>
  <c r="F19" i="4"/>
  <c r="G19" i="4" s="1"/>
  <c r="C9" i="10"/>
  <c r="D9" i="10" s="1"/>
  <c r="L97" i="19"/>
  <c r="M97" i="19" s="1"/>
  <c r="L103" i="19"/>
  <c r="M103" i="19" s="1"/>
  <c r="L126" i="19"/>
  <c r="M126" i="19" s="1"/>
  <c r="L124" i="19"/>
  <c r="M124" i="19" s="1"/>
  <c r="L125" i="19"/>
  <c r="M125" i="19" s="1"/>
  <c r="L116" i="19"/>
  <c r="M116" i="19" s="1"/>
  <c r="L92" i="15"/>
  <c r="L132" i="15" s="1"/>
  <c r="M132" i="15" s="1"/>
  <c r="L133" i="15"/>
  <c r="M133" i="15" s="1"/>
  <c r="Z210" i="12"/>
  <c r="AD210" i="12" s="1"/>
  <c r="Z166" i="12"/>
  <c r="AD166" i="12" s="1"/>
  <c r="Z45" i="12"/>
  <c r="AD45" i="12" s="1"/>
  <c r="Z202" i="12"/>
  <c r="AD202" i="12" s="1"/>
  <c r="Z30" i="12"/>
  <c r="AD30" i="12" s="1"/>
  <c r="Z38" i="12"/>
  <c r="AD38" i="12" s="1"/>
  <c r="Z275" i="12"/>
  <c r="AD275" i="12" s="1"/>
  <c r="Z206" i="12"/>
  <c r="AD206" i="12" s="1"/>
  <c r="Z118" i="12"/>
  <c r="AD118" i="12" s="1"/>
  <c r="Z80" i="12"/>
  <c r="AD80" i="12" s="1"/>
  <c r="Z77" i="12"/>
  <c r="AD77" i="12" s="1"/>
  <c r="Z168" i="12"/>
  <c r="AD168" i="12" s="1"/>
  <c r="Z104" i="12"/>
  <c r="AD104" i="12" s="1"/>
  <c r="Z263" i="12"/>
  <c r="AD263" i="12" s="1"/>
  <c r="Z84" i="12"/>
  <c r="AD84" i="12" s="1"/>
  <c r="Z32" i="12"/>
  <c r="AD32" i="12" s="1"/>
  <c r="Z204" i="12"/>
  <c r="AD204" i="12" s="1"/>
  <c r="Z224" i="12"/>
  <c r="AD224" i="12" s="1"/>
  <c r="Z98" i="12"/>
  <c r="AD98" i="12" s="1"/>
  <c r="Z217" i="12"/>
  <c r="AD217" i="12" s="1"/>
  <c r="Z60" i="12"/>
  <c r="AD60" i="12" s="1"/>
  <c r="Z207" i="12"/>
  <c r="AD207" i="12" s="1"/>
  <c r="Z36" i="12"/>
  <c r="AD36" i="12" s="1"/>
  <c r="Z307" i="12"/>
  <c r="AD307" i="12" s="1"/>
  <c r="Z265" i="12"/>
  <c r="AD265" i="12" s="1"/>
  <c r="Z139" i="12"/>
  <c r="AD139" i="12" s="1"/>
  <c r="Z292" i="12"/>
  <c r="AD292" i="12" s="1"/>
  <c r="Z61" i="12"/>
  <c r="AD61" i="12" s="1"/>
  <c r="Z57" i="12"/>
  <c r="AD57" i="12" s="1"/>
  <c r="Z237" i="12"/>
  <c r="AD237" i="12" s="1"/>
  <c r="Z156" i="12"/>
  <c r="AD156" i="12" s="1"/>
  <c r="Z277" i="12"/>
  <c r="AD277" i="12" s="1"/>
  <c r="Z201" i="12"/>
  <c r="AD201" i="12" s="1"/>
  <c r="Z235" i="12"/>
  <c r="AD235" i="12" s="1"/>
  <c r="Z259" i="12"/>
  <c r="AD259" i="12" s="1"/>
  <c r="Z130" i="12"/>
  <c r="AD130" i="12" s="1"/>
  <c r="Z102" i="12"/>
  <c r="AD102" i="12" s="1"/>
  <c r="Y114" i="12"/>
  <c r="AB114" i="12" s="1"/>
  <c r="AC114" i="12" s="1"/>
  <c r="Z193" i="12"/>
  <c r="AD193" i="12" s="1"/>
  <c r="K44" i="18"/>
  <c r="Z72" i="12"/>
  <c r="AD72" i="12" s="1"/>
  <c r="Z23" i="12"/>
  <c r="AD23" i="12" s="1"/>
  <c r="Z121" i="12"/>
  <c r="AD121" i="12" s="1"/>
  <c r="Z46" i="12"/>
  <c r="AD46" i="12" s="1"/>
  <c r="Z281" i="12"/>
  <c r="AD281" i="12" s="1"/>
  <c r="Z195" i="12"/>
  <c r="AD195" i="12" s="1"/>
  <c r="Z208" i="12"/>
  <c r="AD208" i="12" s="1"/>
  <c r="Z163" i="12"/>
  <c r="AD163" i="12" s="1"/>
  <c r="Z119" i="12"/>
  <c r="AD119" i="12" s="1"/>
  <c r="Z100" i="12"/>
  <c r="AD100" i="12" s="1"/>
  <c r="Z68" i="12"/>
  <c r="AD68" i="12" s="1"/>
  <c r="Z67" i="12"/>
  <c r="AD67" i="12" s="1"/>
  <c r="Z264" i="12"/>
  <c r="AD264" i="12" s="1"/>
  <c r="Z254" i="12"/>
  <c r="AD254" i="12" s="1"/>
  <c r="Z233" i="12"/>
  <c r="AD233" i="12" s="1"/>
  <c r="Z53" i="12"/>
  <c r="AD53" i="12" s="1"/>
  <c r="Z270" i="12"/>
  <c r="AD270" i="12" s="1"/>
  <c r="Z250" i="12"/>
  <c r="AD250" i="12" s="1"/>
  <c r="Z47" i="12"/>
  <c r="AD47" i="12" s="1"/>
  <c r="Z92" i="12"/>
  <c r="AD92" i="12" s="1"/>
  <c r="Z146" i="12"/>
  <c r="AD146" i="12" s="1"/>
  <c r="Z197" i="12"/>
  <c r="AD197" i="12" s="1"/>
  <c r="Z276" i="12"/>
  <c r="AD276" i="12" s="1"/>
  <c r="Z190" i="12"/>
  <c r="AD190" i="12" s="1"/>
  <c r="Z74" i="12"/>
  <c r="AD74" i="12" s="1"/>
  <c r="Z241" i="12"/>
  <c r="AD241" i="12" s="1"/>
  <c r="Z66" i="12"/>
  <c r="AD66" i="12" s="1"/>
  <c r="Z212" i="12"/>
  <c r="AD212" i="12" s="1"/>
  <c r="Z261" i="12"/>
  <c r="AD261" i="12" s="1"/>
  <c r="Z24" i="12"/>
  <c r="AD24" i="12" s="1"/>
  <c r="Z56" i="12"/>
  <c r="AD56" i="12" s="1"/>
  <c r="Z93" i="12"/>
  <c r="AD93" i="12" s="1"/>
  <c r="Z158" i="12"/>
  <c r="AD158" i="12" s="1"/>
  <c r="Z238" i="12"/>
  <c r="AD238" i="12" s="1"/>
  <c r="Z223" i="12"/>
  <c r="AD223" i="12" s="1"/>
  <c r="Z176" i="12"/>
  <c r="AD176" i="12" s="1"/>
  <c r="Z95" i="12"/>
  <c r="AD95" i="12" s="1"/>
  <c r="K103" i="1"/>
  <c r="Z155" i="12"/>
  <c r="AD155" i="12" s="1"/>
  <c r="Z99" i="12"/>
  <c r="AD99" i="12" s="1"/>
  <c r="Z296" i="12"/>
  <c r="AD296" i="12" s="1"/>
  <c r="Z42" i="12"/>
  <c r="AD42" i="12" s="1"/>
  <c r="Z306" i="12"/>
  <c r="AD306" i="12" s="1"/>
  <c r="Z69" i="12"/>
  <c r="AD69" i="12" s="1"/>
  <c r="Z54" i="12"/>
  <c r="AD54" i="12" s="1"/>
  <c r="Z142" i="12"/>
  <c r="AD142" i="12" s="1"/>
  <c r="Z260" i="12"/>
  <c r="AD260" i="12" s="1"/>
  <c r="Z28" i="12"/>
  <c r="AD28" i="12" s="1"/>
  <c r="Z242" i="12"/>
  <c r="AD242" i="12" s="1"/>
  <c r="Z33" i="12"/>
  <c r="AD33" i="12" s="1"/>
  <c r="Z198" i="12"/>
  <c r="AD198" i="12" s="1"/>
  <c r="Z144" i="12"/>
  <c r="AD144" i="12" s="1"/>
  <c r="AA219" i="12"/>
  <c r="AE219" i="12" s="1"/>
  <c r="AA269" i="12"/>
  <c r="AE269" i="12" s="1"/>
  <c r="AA61" i="12"/>
  <c r="AE61" i="12" s="1"/>
  <c r="AA123" i="12"/>
  <c r="AE123" i="12" s="1"/>
  <c r="AA26" i="12"/>
  <c r="AE26" i="12" s="1"/>
  <c r="AA149" i="12"/>
  <c r="AE149" i="12" s="1"/>
  <c r="AA83" i="12"/>
  <c r="AE83" i="12" s="1"/>
  <c r="AA75" i="12"/>
  <c r="AE75" i="12" s="1"/>
  <c r="AA186" i="12"/>
  <c r="AE186" i="12" s="1"/>
  <c r="AA210" i="12"/>
  <c r="AE210" i="12" s="1"/>
  <c r="AA114" i="12"/>
  <c r="AE114" i="12" s="1"/>
  <c r="AA35" i="12"/>
  <c r="AE35" i="12" s="1"/>
  <c r="AA141" i="12"/>
  <c r="AE141" i="12" s="1"/>
  <c r="AA307" i="12"/>
  <c r="AE307" i="12" s="1"/>
  <c r="AA306" i="12"/>
  <c r="AE306" i="12" s="1"/>
  <c r="L121" i="19"/>
  <c r="M121" i="19" s="1"/>
  <c r="AA267" i="12"/>
  <c r="AE267" i="12" s="1"/>
  <c r="AA198" i="12"/>
  <c r="AE198" i="12" s="1"/>
  <c r="Z145" i="12"/>
  <c r="AD145" i="12" s="1"/>
  <c r="AA80" i="12"/>
  <c r="AE80" i="12" s="1"/>
  <c r="AA133" i="12"/>
  <c r="AE133" i="12" s="1"/>
  <c r="Z44" i="12"/>
  <c r="AD44" i="12" s="1"/>
  <c r="D48" i="1"/>
  <c r="AA308" i="12"/>
  <c r="AE308" i="12" s="1"/>
  <c r="AA50" i="12"/>
  <c r="AE50" i="12" s="1"/>
  <c r="AA159" i="12"/>
  <c r="AE159" i="12" s="1"/>
  <c r="AA89" i="12"/>
  <c r="AE89" i="12" s="1"/>
  <c r="AA272" i="12"/>
  <c r="AE272" i="12" s="1"/>
  <c r="AA169" i="12"/>
  <c r="AE169" i="12" s="1"/>
  <c r="AA119" i="12"/>
  <c r="AE119" i="12" s="1"/>
  <c r="AA187" i="12"/>
  <c r="AE187" i="12" s="1"/>
  <c r="AA247" i="12"/>
  <c r="AE247" i="12" s="1"/>
  <c r="AA111" i="12"/>
  <c r="AE111" i="12" s="1"/>
  <c r="AA109" i="12"/>
  <c r="AE109" i="12" s="1"/>
  <c r="AA39" i="12"/>
  <c r="AE39" i="12" s="1"/>
  <c r="AA30" i="12"/>
  <c r="AE30" i="12" s="1"/>
  <c r="AA230" i="12"/>
  <c r="AE230" i="12" s="1"/>
  <c r="AA117" i="12"/>
  <c r="AE117" i="12" s="1"/>
  <c r="M85" i="19"/>
  <c r="L114" i="19"/>
  <c r="M114" i="19" s="1"/>
  <c r="AA86" i="12"/>
  <c r="AE86" i="12" s="1"/>
  <c r="AA212" i="12"/>
  <c r="AE212" i="12" s="1"/>
  <c r="AA278" i="12"/>
  <c r="AE278" i="12" s="1"/>
  <c r="AA197" i="12"/>
  <c r="AE197" i="12" s="1"/>
  <c r="Z101" i="12"/>
  <c r="AD101" i="12" s="1"/>
  <c r="Z25" i="12"/>
  <c r="AD25" i="12" s="1"/>
  <c r="B21" i="9"/>
  <c r="AA241" i="12"/>
  <c r="AE241" i="12" s="1"/>
  <c r="AA288" i="12"/>
  <c r="AE288" i="12" s="1"/>
  <c r="AA208" i="12"/>
  <c r="AE208" i="12" s="1"/>
  <c r="AA252" i="12"/>
  <c r="AE252" i="12" s="1"/>
  <c r="AA200" i="12"/>
  <c r="AE200" i="12" s="1"/>
  <c r="AA95" i="12"/>
  <c r="AE95" i="12" s="1"/>
  <c r="AA202" i="12"/>
  <c r="AE202" i="12" s="1"/>
  <c r="AA297" i="12"/>
  <c r="AE297" i="12" s="1"/>
  <c r="AA102" i="12"/>
  <c r="AE102" i="12" s="1"/>
  <c r="AA71" i="12"/>
  <c r="AE71" i="12" s="1"/>
  <c r="AA195" i="12"/>
  <c r="AE195" i="12" s="1"/>
  <c r="AA112" i="12"/>
  <c r="AE112" i="12" s="1"/>
  <c r="AA190" i="12"/>
  <c r="AE190" i="12" s="1"/>
  <c r="AA43" i="12"/>
  <c r="AE43" i="12" s="1"/>
  <c r="AA232" i="12"/>
  <c r="AE232" i="12" s="1"/>
  <c r="G24" i="2"/>
  <c r="L100" i="19"/>
  <c r="M100" i="19" s="1"/>
  <c r="L92" i="19"/>
  <c r="M92" i="19" s="1"/>
  <c r="AA132" i="12"/>
  <c r="AE132" i="12" s="1"/>
  <c r="AA231" i="12"/>
  <c r="AE231" i="12" s="1"/>
  <c r="AA281" i="12"/>
  <c r="AE281" i="12" s="1"/>
  <c r="AA65" i="12"/>
  <c r="AE65" i="12" s="1"/>
  <c r="AA56" i="12"/>
  <c r="AE56" i="12" s="1"/>
  <c r="AA82" i="12"/>
  <c r="AE82" i="12" s="1"/>
  <c r="AA266" i="12"/>
  <c r="AE266" i="12" s="1"/>
  <c r="AA138" i="12"/>
  <c r="AE138" i="12" s="1"/>
  <c r="AA221" i="12"/>
  <c r="AE221" i="12" s="1"/>
  <c r="AA134" i="12"/>
  <c r="AE134" i="12" s="1"/>
  <c r="AA296" i="12"/>
  <c r="AE296" i="12" s="1"/>
  <c r="L101" i="19"/>
  <c r="M101" i="19" s="1"/>
  <c r="L115" i="19"/>
  <c r="M115" i="19" s="1"/>
  <c r="AA101" i="12"/>
  <c r="AE101" i="12" s="1"/>
  <c r="AA68" i="12"/>
  <c r="AE68" i="12" s="1"/>
  <c r="AA214" i="12"/>
  <c r="AE214" i="12" s="1"/>
  <c r="AA161" i="12"/>
  <c r="AE161" i="12" s="1"/>
  <c r="AA293" i="12"/>
  <c r="AE293" i="12" s="1"/>
  <c r="AA179" i="12"/>
  <c r="AE179" i="12" s="1"/>
  <c r="AA193" i="12"/>
  <c r="AE193" i="12" s="1"/>
  <c r="Y146" i="12"/>
  <c r="AF146" i="12" s="1"/>
  <c r="AG146" i="12" s="1"/>
  <c r="Y198" i="12"/>
  <c r="AB198" i="12" s="1"/>
  <c r="Y225" i="12"/>
  <c r="AB225" i="12" s="1"/>
  <c r="AC225" i="12" s="1"/>
  <c r="Y106" i="12"/>
  <c r="AF106" i="12" s="1"/>
  <c r="AG106" i="12" s="1"/>
  <c r="Y287" i="12"/>
  <c r="AF287" i="12" s="1"/>
  <c r="AG287" i="12" s="1"/>
  <c r="Y211" i="12"/>
  <c r="AB211" i="12" s="1"/>
  <c r="AC211" i="12" s="1"/>
  <c r="Y238" i="12"/>
  <c r="AF238" i="12" s="1"/>
  <c r="AG238" i="12" s="1"/>
  <c r="Y67" i="12"/>
  <c r="AB67" i="12" s="1"/>
  <c r="AC67" i="12" s="1"/>
  <c r="Y123" i="12"/>
  <c r="AB123" i="12" s="1"/>
  <c r="AC123" i="12" s="1"/>
  <c r="Y107" i="12"/>
  <c r="AF107" i="12" s="1"/>
  <c r="AG107" i="12" s="1"/>
  <c r="Y214" i="12"/>
  <c r="L15" i="2"/>
  <c r="D45" i="2" s="1"/>
  <c r="Y271" i="12"/>
  <c r="AF271" i="12" s="1"/>
  <c r="Y149" i="12"/>
  <c r="AF149" i="12" s="1"/>
  <c r="AG149" i="12" s="1"/>
  <c r="A7" i="17"/>
  <c r="A3" i="4"/>
  <c r="A13" i="17"/>
  <c r="B44" i="2"/>
  <c r="D2" i="10"/>
  <c r="B7" i="2" s="1"/>
  <c r="L130" i="15"/>
  <c r="M130" i="15" s="1"/>
  <c r="L14" i="19"/>
  <c r="L21" i="19" s="1"/>
  <c r="L123" i="15"/>
  <c r="M123" i="15" s="1"/>
  <c r="L122" i="15"/>
  <c r="M122" i="15" s="1"/>
  <c r="AF207" i="12"/>
  <c r="AG207" i="12" s="1"/>
  <c r="AB207" i="12"/>
  <c r="AC207" i="12" s="1"/>
  <c r="L123" i="19"/>
  <c r="M123" i="19" s="1"/>
  <c r="L102" i="19"/>
  <c r="M102" i="19" s="1"/>
  <c r="AA34" i="12"/>
  <c r="AE34" i="12" s="1"/>
  <c r="AA62" i="12"/>
  <c r="AE62" i="12" s="1"/>
  <c r="AA130" i="12"/>
  <c r="AE130" i="12" s="1"/>
  <c r="AA277" i="12"/>
  <c r="AE277" i="12" s="1"/>
  <c r="AA290" i="12"/>
  <c r="AE290" i="12" s="1"/>
  <c r="AA205" i="12"/>
  <c r="AE205" i="12" s="1"/>
  <c r="AA236" i="12"/>
  <c r="AE236" i="12" s="1"/>
  <c r="AA225" i="12"/>
  <c r="AE225" i="12" s="1"/>
  <c r="AA53" i="12"/>
  <c r="AE53" i="12" s="1"/>
  <c r="AA261" i="12"/>
  <c r="AE261" i="12" s="1"/>
  <c r="AA177" i="12"/>
  <c r="AE177" i="12" s="1"/>
  <c r="AA217" i="12"/>
  <c r="AE217" i="12" s="1"/>
  <c r="AA51" i="12"/>
  <c r="AE51" i="12" s="1"/>
  <c r="AA223" i="12"/>
  <c r="AE223" i="12" s="1"/>
  <c r="AA164" i="12"/>
  <c r="AE164" i="12" s="1"/>
  <c r="Y125" i="12"/>
  <c r="AB125" i="12" s="1"/>
  <c r="AC125" i="12" s="1"/>
  <c r="Y228" i="12"/>
  <c r="AB228" i="12" s="1"/>
  <c r="Y128" i="12"/>
  <c r="AF128" i="12" s="1"/>
  <c r="AG128" i="12" s="1"/>
  <c r="Y75" i="12"/>
  <c r="AF75" i="12" s="1"/>
  <c r="AG75" i="12" s="1"/>
  <c r="Y80" i="12"/>
  <c r="AB80" i="12" s="1"/>
  <c r="AA154" i="12"/>
  <c r="AE154" i="12" s="1"/>
  <c r="L110" i="15"/>
  <c r="M110" i="15" s="1"/>
  <c r="B20" i="9"/>
  <c r="C46" i="9"/>
  <c r="AW18" i="12"/>
  <c r="AA289" i="12"/>
  <c r="AE289" i="12" s="1"/>
  <c r="AA268" i="12"/>
  <c r="AE268" i="12" s="1"/>
  <c r="AA243" i="12"/>
  <c r="AE243" i="12" s="1"/>
  <c r="AA85" i="12"/>
  <c r="AE85" i="12" s="1"/>
  <c r="AA128" i="12"/>
  <c r="AE128" i="12" s="1"/>
  <c r="AA76" i="12"/>
  <c r="AE76" i="12" s="1"/>
  <c r="AA27" i="12"/>
  <c r="AE27" i="12" s="1"/>
  <c r="AA215" i="12"/>
  <c r="AE215" i="12" s="1"/>
  <c r="AA36" i="12"/>
  <c r="AE36" i="12" s="1"/>
  <c r="AA216" i="12"/>
  <c r="AE216" i="12" s="1"/>
  <c r="AA106" i="12"/>
  <c r="AE106" i="12" s="1"/>
  <c r="AA78" i="12"/>
  <c r="AE78" i="12" s="1"/>
  <c r="AA24" i="12"/>
  <c r="AE24" i="12" s="1"/>
  <c r="AA29" i="12"/>
  <c r="AE29" i="12" s="1"/>
  <c r="AA151" i="12"/>
  <c r="AE151" i="12" s="1"/>
  <c r="AA60" i="12"/>
  <c r="AE60" i="12" s="1"/>
  <c r="AA168" i="12"/>
  <c r="AE168" i="12" s="1"/>
  <c r="AA110" i="12"/>
  <c r="AE110" i="12" s="1"/>
  <c r="AA233" i="12"/>
  <c r="AE233" i="12" s="1"/>
  <c r="AA246" i="12"/>
  <c r="AE246" i="12" s="1"/>
  <c r="AA46" i="12"/>
  <c r="AE46" i="12" s="1"/>
  <c r="AA226" i="12"/>
  <c r="AE226" i="12" s="1"/>
  <c r="AA66" i="12"/>
  <c r="AE66" i="12" s="1"/>
  <c r="AA67" i="12"/>
  <c r="AE67" i="12" s="1"/>
  <c r="AA136" i="12"/>
  <c r="AE136" i="12" s="1"/>
  <c r="AA176" i="12"/>
  <c r="AE176" i="12" s="1"/>
  <c r="AA116" i="12"/>
  <c r="AE116" i="12" s="1"/>
  <c r="AA300" i="12"/>
  <c r="AE300" i="12" s="1"/>
  <c r="AA222" i="12"/>
  <c r="AE222" i="12" s="1"/>
  <c r="AA88" i="12"/>
  <c r="AE88" i="12" s="1"/>
  <c r="AA173" i="12"/>
  <c r="AE173" i="12" s="1"/>
  <c r="AA41" i="12"/>
  <c r="AE41" i="12" s="1"/>
  <c r="AA140" i="12"/>
  <c r="AE140" i="12" s="1"/>
  <c r="AA160" i="12"/>
  <c r="AE160" i="12" s="1"/>
  <c r="AA87" i="12"/>
  <c r="AE87" i="12" s="1"/>
  <c r="AA129" i="12"/>
  <c r="AE129" i="12" s="1"/>
  <c r="AA126" i="12"/>
  <c r="AE126" i="12" s="1"/>
  <c r="AA244" i="12"/>
  <c r="AE244" i="12" s="1"/>
  <c r="AA77" i="12"/>
  <c r="AE77" i="12" s="1"/>
  <c r="AA98" i="12"/>
  <c r="AE98" i="12" s="1"/>
  <c r="AA92" i="12"/>
  <c r="AE92" i="12" s="1"/>
  <c r="AA194" i="12"/>
  <c r="AE194" i="12" s="1"/>
  <c r="AA182" i="12"/>
  <c r="AE182" i="12" s="1"/>
  <c r="AA121" i="12"/>
  <c r="AE121" i="12" s="1"/>
  <c r="L121" i="15"/>
  <c r="M121" i="15" s="1"/>
  <c r="L104" i="15"/>
  <c r="M104" i="15" s="1"/>
  <c r="L128" i="15"/>
  <c r="M128" i="15" s="1"/>
  <c r="L108" i="15"/>
  <c r="M108" i="15" s="1"/>
  <c r="L99" i="15"/>
  <c r="M99" i="15" s="1"/>
  <c r="L107" i="15"/>
  <c r="M107" i="15" s="1"/>
  <c r="L109" i="15"/>
  <c r="M109" i="15" s="1"/>
  <c r="Y307" i="12"/>
  <c r="AB307" i="12" s="1"/>
  <c r="Y94" i="12"/>
  <c r="AF94" i="12" s="1"/>
  <c r="AG94" i="12" s="1"/>
  <c r="Y130" i="12"/>
  <c r="Y41" i="12"/>
  <c r="AB41" i="12" s="1"/>
  <c r="AC41" i="12" s="1"/>
  <c r="Y165" i="12"/>
  <c r="Y248" i="12"/>
  <c r="AF248" i="12" s="1"/>
  <c r="AG248" i="12" s="1"/>
  <c r="Y191" i="12"/>
  <c r="Y57" i="12"/>
  <c r="AB57" i="12" s="1"/>
  <c r="AC57" i="12" s="1"/>
  <c r="Y83" i="12"/>
  <c r="AB83" i="12" s="1"/>
  <c r="AC83" i="12" s="1"/>
  <c r="Y221" i="12"/>
  <c r="Y141" i="12"/>
  <c r="AB141" i="12" s="1"/>
  <c r="AC141" i="12" s="1"/>
  <c r="Y188" i="12"/>
  <c r="Y82" i="12"/>
  <c r="AF82" i="12" s="1"/>
  <c r="AG82" i="12" s="1"/>
  <c r="Y36" i="12"/>
  <c r="AF36" i="12" s="1"/>
  <c r="AG36" i="12" s="1"/>
  <c r="Y289" i="12"/>
  <c r="AF289" i="12" s="1"/>
  <c r="AG289" i="12" s="1"/>
  <c r="Y178" i="12"/>
  <c r="AF178" i="12" s="1"/>
  <c r="AG178" i="12" s="1"/>
  <c r="Y143" i="12"/>
  <c r="Y187" i="12"/>
  <c r="AB187" i="12" s="1"/>
  <c r="AC187" i="12" s="1"/>
  <c r="Y25" i="12"/>
  <c r="AF25" i="12" s="1"/>
  <c r="AG25" i="12" s="1"/>
  <c r="Y33" i="12"/>
  <c r="AB33" i="12" s="1"/>
  <c r="AC33" i="12" s="1"/>
  <c r="Y148" i="12"/>
  <c r="AB148" i="12" s="1"/>
  <c r="AC148" i="12" s="1"/>
  <c r="Y247" i="12"/>
  <c r="Y290" i="12"/>
  <c r="Y172" i="12"/>
  <c r="AF172" i="12" s="1"/>
  <c r="AG172" i="12" s="1"/>
  <c r="Y132" i="12"/>
  <c r="Y45" i="12"/>
  <c r="Y63" i="12"/>
  <c r="Y166" i="12"/>
  <c r="AB166" i="12" s="1"/>
  <c r="Y138" i="12"/>
  <c r="AB138" i="12" s="1"/>
  <c r="AC138" i="12" s="1"/>
  <c r="Y96" i="12"/>
  <c r="AB96" i="12" s="1"/>
  <c r="Y243" i="12"/>
  <c r="AF243" i="12" s="1"/>
  <c r="AG243" i="12" s="1"/>
  <c r="Y81" i="12"/>
  <c r="AF81" i="12" s="1"/>
  <c r="AG81" i="12" s="1"/>
  <c r="C5" i="10"/>
  <c r="A3" i="12"/>
  <c r="C39" i="9"/>
  <c r="L19" i="15" s="1"/>
  <c r="Z115" i="12"/>
  <c r="AD115" i="12" s="1"/>
  <c r="Z200" i="12"/>
  <c r="AD200" i="12" s="1"/>
  <c r="Z271" i="12"/>
  <c r="AD271" i="12" s="1"/>
  <c r="Z282" i="12"/>
  <c r="AD282" i="12" s="1"/>
  <c r="Z196" i="12"/>
  <c r="AD196" i="12" s="1"/>
  <c r="Z216" i="12"/>
  <c r="AD216" i="12" s="1"/>
  <c r="C34" i="9"/>
  <c r="Z31" i="12"/>
  <c r="AD31" i="12" s="1"/>
  <c r="Z70" i="12"/>
  <c r="AD70" i="12" s="1"/>
  <c r="Z299" i="12"/>
  <c r="AD299" i="12" s="1"/>
  <c r="Z109" i="12"/>
  <c r="AD109" i="12" s="1"/>
  <c r="Z174" i="12"/>
  <c r="AD174" i="12" s="1"/>
  <c r="Z90" i="12"/>
  <c r="AD90" i="12" s="1"/>
  <c r="Z293" i="12"/>
  <c r="AD293" i="12" s="1"/>
  <c r="Z290" i="12"/>
  <c r="AD290" i="12" s="1"/>
  <c r="Z29" i="12"/>
  <c r="AD29" i="12" s="1"/>
  <c r="Z301" i="12"/>
  <c r="AD301" i="12" s="1"/>
  <c r="Z289" i="12"/>
  <c r="Z133" i="12"/>
  <c r="AD133" i="12" s="1"/>
  <c r="Z103" i="12"/>
  <c r="AD103" i="12" s="1"/>
  <c r="Z143" i="12"/>
  <c r="AD143" i="12" s="1"/>
  <c r="Z76" i="12"/>
  <c r="AD76" i="12" s="1"/>
  <c r="Z150" i="12"/>
  <c r="AD150" i="12" s="1"/>
  <c r="Z162" i="12"/>
  <c r="AD162" i="12" s="1"/>
  <c r="Z82" i="12"/>
  <c r="AD82" i="12" s="1"/>
  <c r="I17" i="15"/>
  <c r="Z87" i="12"/>
  <c r="Z21" i="12"/>
  <c r="AD21" i="12" s="1"/>
  <c r="Z106" i="12"/>
  <c r="AD106" i="12" s="1"/>
  <c r="Z300" i="12"/>
  <c r="AD300" i="12" s="1"/>
  <c r="C133" i="1"/>
  <c r="Z268" i="12"/>
  <c r="AD268" i="12" s="1"/>
  <c r="Z262" i="12"/>
  <c r="AD262" i="12" s="1"/>
  <c r="Z218" i="12"/>
  <c r="AD218" i="12" s="1"/>
  <c r="Z88" i="12"/>
  <c r="AD88" i="12" s="1"/>
  <c r="Z52" i="12"/>
  <c r="AD52" i="12" s="1"/>
  <c r="Z284" i="12"/>
  <c r="AD284" i="12" s="1"/>
  <c r="Z165" i="12"/>
  <c r="AD165" i="12" s="1"/>
  <c r="Z303" i="12"/>
  <c r="AD303" i="12" s="1"/>
  <c r="Z78" i="12"/>
  <c r="AD78" i="12" s="1"/>
  <c r="Z188" i="12"/>
  <c r="Z274" i="12"/>
  <c r="AD274" i="12" s="1"/>
  <c r="L16" i="2"/>
  <c r="B49" i="2" s="1"/>
  <c r="Z124" i="12"/>
  <c r="AD124" i="12" s="1"/>
  <c r="Z148" i="12"/>
  <c r="AD148" i="12" s="1"/>
  <c r="Z221" i="12"/>
  <c r="AD221" i="12" s="1"/>
  <c r="Z247" i="12"/>
  <c r="Z134" i="12"/>
  <c r="AD134" i="12" s="1"/>
  <c r="Z50" i="12"/>
  <c r="AD50" i="12" s="1"/>
  <c r="Z131" i="12"/>
  <c r="AD131" i="12" s="1"/>
  <c r="Z177" i="12"/>
  <c r="AD177" i="12" s="1"/>
  <c r="Z283" i="12"/>
  <c r="AD283" i="12" s="1"/>
  <c r="Z180" i="12"/>
  <c r="AD180" i="12" s="1"/>
  <c r="Z258" i="12"/>
  <c r="AD258" i="12" s="1"/>
  <c r="Z255" i="12"/>
  <c r="AD255" i="12" s="1"/>
  <c r="C36" i="9"/>
  <c r="Z169" i="12"/>
  <c r="AD169" i="12" s="1"/>
  <c r="Z39" i="12"/>
  <c r="AD39" i="12" s="1"/>
  <c r="Z43" i="12"/>
  <c r="AD43" i="12" s="1"/>
  <c r="Z294" i="12"/>
  <c r="AD294" i="12" s="1"/>
  <c r="C85" i="1"/>
  <c r="Z62" i="12"/>
  <c r="AD62" i="12" s="1"/>
  <c r="Z126" i="12"/>
  <c r="AD126" i="12" s="1"/>
  <c r="Z219" i="12"/>
  <c r="AD219" i="12" s="1"/>
  <c r="Z305" i="12"/>
  <c r="AD305" i="12" s="1"/>
  <c r="Z75" i="12"/>
  <c r="AD75" i="12" s="1"/>
  <c r="Z132" i="12"/>
  <c r="AD132" i="12" s="1"/>
  <c r="C38" i="9"/>
  <c r="Z280" i="12"/>
  <c r="AD280" i="12" s="1"/>
  <c r="Z151" i="12"/>
  <c r="AD151" i="12" s="1"/>
  <c r="Z22" i="12"/>
  <c r="AD22" i="12" s="1"/>
  <c r="Z63" i="12"/>
  <c r="AD63" i="12" s="1"/>
  <c r="I90" i="19"/>
  <c r="Z116" i="12"/>
  <c r="AD116" i="12" s="1"/>
  <c r="Z182" i="12"/>
  <c r="AD182" i="12" s="1"/>
  <c r="Z113" i="12"/>
  <c r="AD113" i="12" s="1"/>
  <c r="Z267" i="12"/>
  <c r="AD267" i="12" s="1"/>
  <c r="Z178" i="12"/>
  <c r="AD178" i="12" s="1"/>
  <c r="Z278" i="12"/>
  <c r="AD278" i="12" s="1"/>
  <c r="Z110" i="12"/>
  <c r="AD110" i="12" s="1"/>
  <c r="Z91" i="12"/>
  <c r="AD91" i="12" s="1"/>
  <c r="Z243" i="12"/>
  <c r="AD243" i="12" s="1"/>
  <c r="I97" i="15"/>
  <c r="Z240" i="12"/>
  <c r="AD240" i="12" s="1"/>
  <c r="Z55" i="12"/>
  <c r="AD55" i="12" s="1"/>
  <c r="Z140" i="12"/>
  <c r="AD140" i="12" s="1"/>
  <c r="Z59" i="12"/>
  <c r="AD59" i="12" s="1"/>
  <c r="AB234" i="12"/>
  <c r="Z252" i="12"/>
  <c r="AD252" i="12" s="1"/>
  <c r="Z266" i="12"/>
  <c r="AD266" i="12" s="1"/>
  <c r="Z58" i="12"/>
  <c r="AD58" i="12" s="1"/>
  <c r="Z26" i="12"/>
  <c r="AD26" i="12" s="1"/>
  <c r="Z236" i="12"/>
  <c r="AD236" i="12" s="1"/>
  <c r="Z108" i="12"/>
  <c r="AD108" i="12" s="1"/>
  <c r="Z85" i="12"/>
  <c r="AD85" i="12" s="1"/>
  <c r="Z291" i="12"/>
  <c r="AD291" i="12" s="1"/>
  <c r="Z128" i="12"/>
  <c r="AD128" i="12" s="1"/>
  <c r="Z114" i="12"/>
  <c r="AD114" i="12" s="1"/>
  <c r="Z34" i="12"/>
  <c r="AD34" i="12" s="1"/>
  <c r="Z228" i="12"/>
  <c r="AD228" i="12" s="1"/>
  <c r="Z186" i="12"/>
  <c r="AD186" i="12" s="1"/>
  <c r="Z107" i="12"/>
  <c r="Z179" i="12"/>
  <c r="AD179" i="12" s="1"/>
  <c r="Z295" i="12"/>
  <c r="AD295" i="12" s="1"/>
  <c r="Z49" i="12"/>
  <c r="AD49" i="12" s="1"/>
  <c r="Z189" i="12"/>
  <c r="AD189" i="12" s="1"/>
  <c r="Z127" i="12"/>
  <c r="AD127" i="12" s="1"/>
  <c r="Z244" i="12"/>
  <c r="AD244" i="12" s="1"/>
  <c r="Z251" i="12"/>
  <c r="AD251" i="12" s="1"/>
  <c r="Z111" i="12"/>
  <c r="AD111" i="12" s="1"/>
  <c r="C33" i="9"/>
  <c r="E30" i="1" s="1"/>
  <c r="F30" i="1" s="1"/>
  <c r="Z273" i="12"/>
  <c r="AD273" i="12" s="1"/>
  <c r="Z192" i="12"/>
  <c r="AD192" i="12" s="1"/>
  <c r="Z89" i="12"/>
  <c r="AD89" i="12" s="1"/>
  <c r="Z246" i="12"/>
  <c r="AD246" i="12" s="1"/>
  <c r="Z209" i="12"/>
  <c r="AD209" i="12" s="1"/>
  <c r="Z287" i="12"/>
  <c r="AD287" i="12" s="1"/>
  <c r="Z41" i="12"/>
  <c r="AD41" i="12" s="1"/>
  <c r="Z230" i="12"/>
  <c r="AD230" i="12" s="1"/>
  <c r="Z136" i="12"/>
  <c r="AD136" i="12" s="1"/>
  <c r="R9" i="12"/>
  <c r="Q9" i="12"/>
  <c r="M19" i="4"/>
  <c r="L19" i="4" s="1"/>
  <c r="Y154" i="12"/>
  <c r="Y266" i="12"/>
  <c r="Y254" i="12"/>
  <c r="Y298" i="12"/>
  <c r="Y217" i="12"/>
  <c r="Y151" i="12"/>
  <c r="Y296" i="12"/>
  <c r="Y65" i="12"/>
  <c r="Y256" i="12"/>
  <c r="Y111" i="12"/>
  <c r="Y103" i="12"/>
  <c r="Y229" i="12"/>
  <c r="Y135" i="12"/>
  <c r="Y283" i="12"/>
  <c r="Y109" i="12"/>
  <c r="Y119" i="12"/>
  <c r="Y93" i="12"/>
  <c r="Y246" i="12"/>
  <c r="Y224" i="12"/>
  <c r="Y91" i="12"/>
  <c r="Y182" i="12"/>
  <c r="Y113" i="12"/>
  <c r="Y236" i="12"/>
  <c r="Y39" i="12"/>
  <c r="Y70" i="12"/>
  <c r="Y275" i="12"/>
  <c r="Y99" i="12"/>
  <c r="Y150" i="12"/>
  <c r="Y110" i="12"/>
  <c r="Y120" i="12"/>
  <c r="Y253" i="12"/>
  <c r="Y136" i="12"/>
  <c r="Y52" i="12"/>
  <c r="Y134" i="12"/>
  <c r="Y174" i="12"/>
  <c r="Y240" i="12"/>
  <c r="Y257" i="12"/>
  <c r="Y199" i="12"/>
  <c r="Y259" i="12"/>
  <c r="Y219" i="12"/>
  <c r="Y280" i="12"/>
  <c r="Y26" i="12"/>
  <c r="Y216" i="12"/>
  <c r="Y161" i="12"/>
  <c r="L77" i="1"/>
  <c r="Y200" i="12"/>
  <c r="Y306" i="12"/>
  <c r="Y202" i="12"/>
  <c r="Y223" i="12"/>
  <c r="Y76" i="12"/>
  <c r="Y47" i="12"/>
  <c r="Y267" i="12"/>
  <c r="Y299" i="12"/>
  <c r="Y61" i="12"/>
  <c r="Y126" i="12"/>
  <c r="Y112" i="12"/>
  <c r="Y29" i="12"/>
  <c r="Y59" i="12"/>
  <c r="Y265" i="12"/>
  <c r="Y21" i="12"/>
  <c r="Y118" i="12"/>
  <c r="Y235" i="12"/>
  <c r="Y85" i="12"/>
  <c r="Y292" i="12"/>
  <c r="Y241" i="12"/>
  <c r="Y194" i="12"/>
  <c r="Y273" i="12"/>
  <c r="Y38" i="12"/>
  <c r="Y79" i="12"/>
  <c r="Y285" i="12"/>
  <c r="Y272" i="12"/>
  <c r="Y158" i="12"/>
  <c r="M15" i="19"/>
  <c r="L54" i="19" s="1"/>
  <c r="Y212" i="12"/>
  <c r="Y270" i="12"/>
  <c r="Y195" i="12"/>
  <c r="Y49" i="12"/>
  <c r="Y117" i="12"/>
  <c r="Y258" i="12"/>
  <c r="Y206" i="12"/>
  <c r="Y48" i="12"/>
  <c r="Y170" i="12"/>
  <c r="Y58" i="12"/>
  <c r="Y69" i="12"/>
  <c r="Y68" i="12"/>
  <c r="Y215" i="12"/>
  <c r="Y104" i="12"/>
  <c r="Y78" i="12"/>
  <c r="Y249" i="12"/>
  <c r="Y139" i="12"/>
  <c r="Y176" i="12"/>
  <c r="Y177" i="12"/>
  <c r="Y42" i="12"/>
  <c r="Y157" i="12"/>
  <c r="Y137" i="12"/>
  <c r="Y260" i="12"/>
  <c r="Y66" i="12"/>
  <c r="Y173" i="12"/>
  <c r="Y244" i="12"/>
  <c r="Y250" i="12"/>
  <c r="Y46" i="12"/>
  <c r="Y129" i="12"/>
  <c r="Y175" i="12"/>
  <c r="Y262" i="12"/>
  <c r="Y282" i="12"/>
  <c r="L18" i="18"/>
  <c r="Y284" i="12"/>
  <c r="Y152" i="12"/>
  <c r="Y162" i="12"/>
  <c r="Y88" i="12"/>
  <c r="Y222" i="12"/>
  <c r="Y50" i="12"/>
  <c r="Y140" i="12"/>
  <c r="Y230" i="12"/>
  <c r="Y156" i="12"/>
  <c r="Y56" i="12"/>
  <c r="Y183" i="12"/>
  <c r="Y294" i="12"/>
  <c r="Y278" i="12"/>
  <c r="Y213" i="12"/>
  <c r="Y28" i="12"/>
  <c r="Y102" i="12"/>
  <c r="Y218" i="12"/>
  <c r="Y131" i="12"/>
  <c r="Y180" i="12"/>
  <c r="Y297" i="12"/>
  <c r="Y32" i="12"/>
  <c r="Y181" i="12"/>
  <c r="Y261" i="12"/>
  <c r="Y192" i="12"/>
  <c r="Y308" i="12"/>
  <c r="M93" i="15"/>
  <c r="Y251" i="12"/>
  <c r="Y124" i="12"/>
  <c r="Y24" i="12"/>
  <c r="Y186" i="12"/>
  <c r="Y169" i="12"/>
  <c r="Y184" i="12"/>
  <c r="Y100" i="12"/>
  <c r="Y144" i="12"/>
  <c r="Y164" i="12"/>
  <c r="Y98" i="12"/>
  <c r="Y193" i="12"/>
  <c r="Y210" i="12"/>
  <c r="Y277" i="12"/>
  <c r="Y72" i="12"/>
  <c r="Y279" i="12"/>
  <c r="Y92" i="12"/>
  <c r="Y168" i="12"/>
  <c r="Y145" i="12"/>
  <c r="Y22" i="12"/>
  <c r="Y201" i="12"/>
  <c r="Y179" i="12"/>
  <c r="Y44" i="12"/>
  <c r="Y35" i="12"/>
  <c r="Y274" i="12"/>
  <c r="Y27" i="12"/>
  <c r="Y51" i="12"/>
  <c r="Y64" i="12"/>
  <c r="Y237" i="12"/>
  <c r="Y55" i="12"/>
  <c r="Y286" i="12"/>
  <c r="Y43" i="12"/>
  <c r="Y232" i="12"/>
  <c r="Y90" i="12"/>
  <c r="L11" i="17"/>
  <c r="Y53" i="12"/>
  <c r="Y54" i="12"/>
  <c r="Y74" i="12"/>
  <c r="Y220" i="12"/>
  <c r="Y30" i="12"/>
  <c r="Y37" i="12"/>
  <c r="Y196" i="12"/>
  <c r="Y115" i="12"/>
  <c r="Y73" i="12"/>
  <c r="Y133" i="12"/>
  <c r="Y147" i="12"/>
  <c r="Y197" i="12"/>
  <c r="Y77" i="12"/>
  <c r="Y95" i="12"/>
  <c r="Y167" i="12"/>
  <c r="Y171" i="12"/>
  <c r="Y208" i="12"/>
  <c r="M86" i="19"/>
  <c r="Y40" i="12"/>
  <c r="Y293" i="12"/>
  <c r="M13" i="15"/>
  <c r="Y233" i="12"/>
  <c r="Y276" i="12"/>
  <c r="Y281" i="12"/>
  <c r="Y226" i="12"/>
  <c r="Y268" i="12"/>
  <c r="Y97" i="12"/>
  <c r="Y303" i="12"/>
  <c r="L15" i="1"/>
  <c r="Y264" i="12"/>
  <c r="Y295" i="12"/>
  <c r="Y71" i="12"/>
  <c r="Y153" i="12"/>
  <c r="Y300" i="12"/>
  <c r="Y203" i="12"/>
  <c r="Y291" i="12"/>
  <c r="Y122" i="12"/>
  <c r="Y116" i="12"/>
  <c r="Y84" i="12"/>
  <c r="Y101" i="12"/>
  <c r="Y163" i="12"/>
  <c r="Y127" i="12"/>
  <c r="Y155" i="12"/>
  <c r="Y160" i="12"/>
  <c r="Y304" i="12"/>
  <c r="Y305" i="12"/>
  <c r="Y31" i="12"/>
  <c r="Y108" i="12"/>
  <c r="Y159" i="12"/>
  <c r="Y269" i="12"/>
  <c r="Y255" i="12"/>
  <c r="Y239" i="12"/>
  <c r="Y205" i="12"/>
  <c r="Y185" i="12"/>
  <c r="Y252" i="12"/>
  <c r="Y105" i="12"/>
  <c r="Y23" i="12"/>
  <c r="Y301" i="12"/>
  <c r="Y209" i="12"/>
  <c r="Y288" i="12"/>
  <c r="Y204" i="12"/>
  <c r="Y189" i="12"/>
  <c r="Y121" i="12"/>
  <c r="Y34" i="12"/>
  <c r="Y86" i="12"/>
  <c r="Y242" i="12"/>
  <c r="Y302" i="12"/>
  <c r="Y263" i="12"/>
  <c r="Y231" i="12"/>
  <c r="Z112" i="12"/>
  <c r="Z298" i="12"/>
  <c r="Z297" i="12"/>
  <c r="Z269" i="12"/>
  <c r="Z185" i="12"/>
  <c r="Z122" i="12"/>
  <c r="Z135" i="12"/>
  <c r="Z94" i="12"/>
  <c r="Z97" i="12"/>
  <c r="Z73" i="12"/>
  <c r="Z229" i="12"/>
  <c r="Z149" i="12"/>
  <c r="Z125" i="12"/>
  <c r="Z232" i="12"/>
  <c r="Z211" i="12"/>
  <c r="Z199" i="12"/>
  <c r="Z220" i="12"/>
  <c r="Z154" i="12"/>
  <c r="Z215" i="12"/>
  <c r="Z65" i="12"/>
  <c r="Z302" i="12"/>
  <c r="Z213" i="12"/>
  <c r="Z194" i="12"/>
  <c r="Z239" i="12"/>
  <c r="Z152" i="12"/>
  <c r="Z83" i="12"/>
  <c r="Z226" i="12"/>
  <c r="Z286" i="12"/>
  <c r="Z79" i="12"/>
  <c r="Z288" i="12"/>
  <c r="Z272" i="12"/>
  <c r="Z120" i="12"/>
  <c r="Z141" i="12"/>
  <c r="Z308" i="12"/>
  <c r="Z129" i="12"/>
  <c r="Z214" i="12"/>
  <c r="Z123" i="12"/>
  <c r="Z159" i="12"/>
  <c r="Z64" i="12"/>
  <c r="Z225" i="12"/>
  <c r="Z285" i="12"/>
  <c r="Z170" i="12"/>
  <c r="Z71" i="12"/>
  <c r="Z173" i="12"/>
  <c r="Z205" i="12"/>
  <c r="Z40" i="12"/>
  <c r="Z172" i="12"/>
  <c r="Z183" i="12"/>
  <c r="Z167" i="12"/>
  <c r="Z147" i="12"/>
  <c r="Z161" i="12"/>
  <c r="Z257" i="12"/>
  <c r="Z81" i="12"/>
  <c r="Z253" i="12"/>
  <c r="Z117" i="12"/>
  <c r="Z171" i="12"/>
  <c r="Z222" i="12"/>
  <c r="Z105" i="12"/>
  <c r="Z35" i="12"/>
  <c r="Z153" i="12"/>
  <c r="Z304" i="12"/>
  <c r="Z227" i="12"/>
  <c r="Z27" i="12"/>
  <c r="Z137" i="12"/>
  <c r="Z203" i="12"/>
  <c r="Z187" i="12"/>
  <c r="Z181" i="12"/>
  <c r="Z249" i="12"/>
  <c r="Z37" i="12"/>
  <c r="Z157" i="12"/>
  <c r="G10" i="4"/>
  <c r="S9" i="12"/>
  <c r="I19" i="19"/>
  <c r="N20" i="4" l="1"/>
  <c r="L20" i="4"/>
  <c r="N21" i="4"/>
  <c r="L21" i="4"/>
  <c r="N22" i="4"/>
  <c r="L22" i="4"/>
  <c r="N23" i="4"/>
  <c r="L23" i="4"/>
  <c r="N24" i="4"/>
  <c r="L24" i="4"/>
  <c r="N25" i="4"/>
  <c r="L25" i="4"/>
  <c r="N27" i="4"/>
  <c r="L27" i="4"/>
  <c r="AA127" i="12"/>
  <c r="AE127" i="12" s="1"/>
  <c r="AA238" i="12"/>
  <c r="AE238" i="12" s="1"/>
  <c r="AA188" i="12"/>
  <c r="AE188" i="12" s="1"/>
  <c r="AA304" i="12"/>
  <c r="AE304" i="12" s="1"/>
  <c r="AA201" i="12"/>
  <c r="AE201" i="12" s="1"/>
  <c r="AA99" i="12"/>
  <c r="AE99" i="12" s="1"/>
  <c r="AA143" i="12"/>
  <c r="AE143" i="12" s="1"/>
  <c r="AA28" i="12"/>
  <c r="AE28" i="12" s="1"/>
  <c r="AA166" i="12"/>
  <c r="AE166" i="12" s="1"/>
  <c r="AA286" i="12"/>
  <c r="AE286" i="12" s="1"/>
  <c r="AA192" i="12"/>
  <c r="AE192" i="12" s="1"/>
  <c r="AA153" i="12"/>
  <c r="AE153" i="12" s="1"/>
  <c r="AA40" i="12"/>
  <c r="AE40" i="12" s="1"/>
  <c r="AA90" i="12"/>
  <c r="AE90" i="12" s="1"/>
  <c r="AA204" i="12"/>
  <c r="AE204" i="12" s="1"/>
  <c r="AA171" i="12"/>
  <c r="AE171" i="12" s="1"/>
  <c r="AA84" i="12"/>
  <c r="AE84" i="12" s="1"/>
  <c r="AA185" i="12"/>
  <c r="AE185" i="12" s="1"/>
  <c r="AA184" i="12"/>
  <c r="AE184" i="12" s="1"/>
  <c r="AA174" i="12"/>
  <c r="AE174" i="12" s="1"/>
  <c r="AA170" i="12"/>
  <c r="AE170" i="12" s="1"/>
  <c r="AA137" i="12"/>
  <c r="AE137" i="12" s="1"/>
  <c r="AA183" i="12"/>
  <c r="AE183" i="12" s="1"/>
  <c r="AA303" i="12"/>
  <c r="AE303" i="12" s="1"/>
  <c r="AA234" i="12"/>
  <c r="AE234" i="12" s="1"/>
  <c r="AA235" i="12"/>
  <c r="AE235" i="12" s="1"/>
  <c r="AA52" i="12"/>
  <c r="AE52" i="12" s="1"/>
  <c r="AA276" i="12"/>
  <c r="AE276" i="12" s="1"/>
  <c r="AA103" i="12"/>
  <c r="AE103" i="12" s="1"/>
  <c r="AA55" i="12"/>
  <c r="AE55" i="12" s="1"/>
  <c r="AA271" i="12"/>
  <c r="AE271" i="12" s="1"/>
  <c r="AA31" i="12"/>
  <c r="AE31" i="12" s="1"/>
  <c r="AA196" i="12"/>
  <c r="AE196" i="12" s="1"/>
  <c r="AA302" i="12"/>
  <c r="AE302" i="12" s="1"/>
  <c r="AA260" i="12"/>
  <c r="AE260" i="12" s="1"/>
  <c r="AA305" i="12"/>
  <c r="AE305" i="12" s="1"/>
  <c r="AA145" i="12"/>
  <c r="AE145" i="12" s="1"/>
  <c r="AA255" i="12"/>
  <c r="AE255" i="12" s="1"/>
  <c r="AA242" i="12"/>
  <c r="AE242" i="12" s="1"/>
  <c r="AA144" i="12"/>
  <c r="AE144" i="12" s="1"/>
  <c r="AA163" i="12"/>
  <c r="AE163" i="12" s="1"/>
  <c r="L131" i="15"/>
  <c r="M131" i="15" s="1"/>
  <c r="AA207" i="12"/>
  <c r="AE207" i="12" s="1"/>
  <c r="AA301" i="12"/>
  <c r="AE301" i="12" s="1"/>
  <c r="AA115" i="12"/>
  <c r="AE115" i="12" s="1"/>
  <c r="AA63" i="12"/>
  <c r="AE63" i="12" s="1"/>
  <c r="AA105" i="12"/>
  <c r="AE105" i="12" s="1"/>
  <c r="AA237" i="12"/>
  <c r="AE237" i="12" s="1"/>
  <c r="AA256" i="12"/>
  <c r="AE256" i="12" s="1"/>
  <c r="AA180" i="12"/>
  <c r="AE180" i="12" s="1"/>
  <c r="AA64" i="12"/>
  <c r="AE64" i="12" s="1"/>
  <c r="AA23" i="12"/>
  <c r="AE23" i="12" s="1"/>
  <c r="AA42" i="12"/>
  <c r="AE42" i="12" s="1"/>
  <c r="AA165" i="12"/>
  <c r="AE165" i="12" s="1"/>
  <c r="AA250" i="12"/>
  <c r="AE250" i="12" s="1"/>
  <c r="AA274" i="12"/>
  <c r="AE274" i="12" s="1"/>
  <c r="AA91" i="12"/>
  <c r="AE91" i="12" s="1"/>
  <c r="AA139" i="12"/>
  <c r="AE139" i="12" s="1"/>
  <c r="AA59" i="12"/>
  <c r="AE59" i="12" s="1"/>
  <c r="AA45" i="12"/>
  <c r="AE45" i="12" s="1"/>
  <c r="AA93" i="12"/>
  <c r="AE93" i="12" s="1"/>
  <c r="AA156" i="12"/>
  <c r="AE156" i="12" s="1"/>
  <c r="AA120" i="12"/>
  <c r="AE120" i="12" s="1"/>
  <c r="AA158" i="12"/>
  <c r="AE158" i="12" s="1"/>
  <c r="AA155" i="12"/>
  <c r="AE155" i="12" s="1"/>
  <c r="AA249" i="12"/>
  <c r="AE249" i="12" s="1"/>
  <c r="AA240" i="12"/>
  <c r="AE240" i="12" s="1"/>
  <c r="AA48" i="12"/>
  <c r="AE48" i="12" s="1"/>
  <c r="AA96" i="12"/>
  <c r="AE96" i="12" s="1"/>
  <c r="AA58" i="12"/>
  <c r="AE58" i="12" s="1"/>
  <c r="AA199" i="12"/>
  <c r="AE199" i="12" s="1"/>
  <c r="AA70" i="12"/>
  <c r="AE70" i="12" s="1"/>
  <c r="AA229" i="12"/>
  <c r="AE229" i="12" s="1"/>
  <c r="AA94" i="12"/>
  <c r="AE94" i="12" s="1"/>
  <c r="AA131" i="12"/>
  <c r="AE131" i="12" s="1"/>
  <c r="AA113" i="12"/>
  <c r="AE113" i="12" s="1"/>
  <c r="AA299" i="12"/>
  <c r="AE299" i="12" s="1"/>
  <c r="AA100" i="12"/>
  <c r="AE100" i="12" s="1"/>
  <c r="AA74" i="12"/>
  <c r="AE74" i="12" s="1"/>
  <c r="AA157" i="12"/>
  <c r="AE157" i="12" s="1"/>
  <c r="AA265" i="12"/>
  <c r="AE265" i="12" s="1"/>
  <c r="AA79" i="12"/>
  <c r="AE79" i="12" s="1"/>
  <c r="AA218" i="12"/>
  <c r="AE218" i="12" s="1"/>
  <c r="AA257" i="12"/>
  <c r="AE257" i="12" s="1"/>
  <c r="AA283" i="12"/>
  <c r="AE283" i="12" s="1"/>
  <c r="AA263" i="12"/>
  <c r="AE263" i="12" s="1"/>
  <c r="AA224" i="12"/>
  <c r="AE224" i="12" s="1"/>
  <c r="AA73" i="12"/>
  <c r="AE73" i="12" s="1"/>
  <c r="AA108" i="12"/>
  <c r="AE108" i="12" s="1"/>
  <c r="AA292" i="12"/>
  <c r="AE292" i="12" s="1"/>
  <c r="AA22" i="12"/>
  <c r="AE22" i="12" s="1"/>
  <c r="AA295" i="12"/>
  <c r="AE295" i="12" s="1"/>
  <c r="AA21" i="12"/>
  <c r="AE21" i="12" s="1"/>
  <c r="AA69" i="12"/>
  <c r="AE69" i="12" s="1"/>
  <c r="AA253" i="12"/>
  <c r="AE253" i="12" s="1"/>
  <c r="AA150" i="12"/>
  <c r="AE150" i="12" s="1"/>
  <c r="AA38" i="12"/>
  <c r="AE38" i="12" s="1"/>
  <c r="AA254" i="12"/>
  <c r="AE254" i="12" s="1"/>
  <c r="AA142" i="12"/>
  <c r="AE142" i="12" s="1"/>
  <c r="AA32" i="12"/>
  <c r="AE32" i="12" s="1"/>
  <c r="AA135" i="12"/>
  <c r="AE135" i="12" s="1"/>
  <c r="AA152" i="12"/>
  <c r="AE152" i="12" s="1"/>
  <c r="AA178" i="12"/>
  <c r="AE178" i="12" s="1"/>
  <c r="AA189" i="12"/>
  <c r="AE189" i="12" s="1"/>
  <c r="AA291" i="12"/>
  <c r="AE291" i="12" s="1"/>
  <c r="AA44" i="12"/>
  <c r="AE44" i="12" s="1"/>
  <c r="AA264" i="12"/>
  <c r="AE264" i="12" s="1"/>
  <c r="AA211" i="12"/>
  <c r="AE211" i="12" s="1"/>
  <c r="AA81" i="12"/>
  <c r="AE81" i="12" s="1"/>
  <c r="AA33" i="12"/>
  <c r="AE33" i="12" s="1"/>
  <c r="G23" i="2"/>
  <c r="G25" i="2" s="1"/>
  <c r="AA259" i="12"/>
  <c r="AE259" i="12" s="1"/>
  <c r="AA167" i="12"/>
  <c r="AE167" i="12" s="1"/>
  <c r="AA57" i="12"/>
  <c r="AE57" i="12" s="1"/>
  <c r="AA122" i="12"/>
  <c r="AE122" i="12" s="1"/>
  <c r="AA206" i="12"/>
  <c r="AE206" i="12" s="1"/>
  <c r="AA162" i="12"/>
  <c r="AE162" i="12" s="1"/>
  <c r="AA104" i="12"/>
  <c r="AE104" i="12" s="1"/>
  <c r="AA228" i="12"/>
  <c r="AE228" i="12" s="1"/>
  <c r="AA239" i="12"/>
  <c r="AE239" i="12" s="1"/>
  <c r="AA284" i="12"/>
  <c r="AE284" i="12" s="1"/>
  <c r="AA270" i="12"/>
  <c r="AE270" i="12" s="1"/>
  <c r="Z138" i="12"/>
  <c r="AD138" i="12" s="1"/>
  <c r="Z184" i="12"/>
  <c r="AD184" i="12" s="1"/>
  <c r="AA213" i="12"/>
  <c r="AE213" i="12" s="1"/>
  <c r="AA175" i="12"/>
  <c r="AE175" i="12" s="1"/>
  <c r="AA258" i="12"/>
  <c r="AE258" i="12" s="1"/>
  <c r="AA227" i="12"/>
  <c r="AE227" i="12" s="1"/>
  <c r="AA280" i="12"/>
  <c r="AE280" i="12" s="1"/>
  <c r="AA125" i="12"/>
  <c r="AE125" i="12" s="1"/>
  <c r="AA282" i="12"/>
  <c r="AE282" i="12" s="1"/>
  <c r="AA49" i="12"/>
  <c r="AE49" i="12" s="1"/>
  <c r="AA294" i="12"/>
  <c r="AE294" i="12" s="1"/>
  <c r="AA262" i="12"/>
  <c r="AE262" i="12" s="1"/>
  <c r="AA245" i="12"/>
  <c r="AE245" i="12" s="1"/>
  <c r="AA181" i="12"/>
  <c r="AE181" i="12" s="1"/>
  <c r="AA273" i="12"/>
  <c r="AE273" i="12" s="1"/>
  <c r="AA220" i="12"/>
  <c r="AE220" i="12" s="1"/>
  <c r="AA203" i="12"/>
  <c r="AE203" i="12" s="1"/>
  <c r="AA54" i="12"/>
  <c r="AE54" i="12" s="1"/>
  <c r="AA279" i="12"/>
  <c r="AE279" i="12" s="1"/>
  <c r="AA251" i="12"/>
  <c r="AE251" i="12" s="1"/>
  <c r="M33" i="19"/>
  <c r="AF114" i="12"/>
  <c r="AG114" i="12" s="1"/>
  <c r="L111" i="15"/>
  <c r="L20" i="15"/>
  <c r="AB62" i="12"/>
  <c r="AC62" i="12" s="1"/>
  <c r="AF307" i="12"/>
  <c r="AG307" i="12" s="1"/>
  <c r="AB106" i="12"/>
  <c r="AC106" i="12" s="1"/>
  <c r="F49" i="2"/>
  <c r="F26" i="2"/>
  <c r="G26" i="2" s="1"/>
  <c r="F45" i="2"/>
  <c r="F27" i="2"/>
  <c r="G27" i="2" s="1"/>
  <c r="G28" i="2" s="1"/>
  <c r="AB227" i="12"/>
  <c r="AC227" i="12" s="1"/>
  <c r="AB271" i="12"/>
  <c r="AH271" i="12" s="1"/>
  <c r="AH234" i="12"/>
  <c r="AB142" i="12"/>
  <c r="AC142" i="12" s="1"/>
  <c r="AF60" i="12"/>
  <c r="AG60" i="12" s="1"/>
  <c r="AB87" i="12"/>
  <c r="AC87" i="12" s="1"/>
  <c r="AB190" i="12"/>
  <c r="AC190" i="12" s="1"/>
  <c r="AB238" i="12"/>
  <c r="AC238" i="12" s="1"/>
  <c r="L129" i="15"/>
  <c r="M129" i="15" s="1"/>
  <c r="AF166" i="12"/>
  <c r="AG166" i="12" s="1"/>
  <c r="AF57" i="12"/>
  <c r="AG57" i="12" s="1"/>
  <c r="AB172" i="12"/>
  <c r="AC172" i="12" s="1"/>
  <c r="AB178" i="12"/>
  <c r="AC178" i="12" s="1"/>
  <c r="AB128" i="12"/>
  <c r="AH128" i="12" s="1"/>
  <c r="AB243" i="12"/>
  <c r="AC243" i="12" s="1"/>
  <c r="AB81" i="12"/>
  <c r="AC81" i="12" s="1"/>
  <c r="AF228" i="12"/>
  <c r="AG228" i="12" s="1"/>
  <c r="AB289" i="12"/>
  <c r="AC289" i="12" s="1"/>
  <c r="AF245" i="12"/>
  <c r="AG245" i="12" s="1"/>
  <c r="AF198" i="12"/>
  <c r="AG198" i="12" s="1"/>
  <c r="AB25" i="12"/>
  <c r="AH25" i="12" s="1"/>
  <c r="AF67" i="12"/>
  <c r="AG67" i="12" s="1"/>
  <c r="AF89" i="12"/>
  <c r="AG89" i="12" s="1"/>
  <c r="AB82" i="12"/>
  <c r="AC82" i="12" s="1"/>
  <c r="AF96" i="12"/>
  <c r="AG96" i="12" s="1"/>
  <c r="AB146" i="12"/>
  <c r="AC146" i="12" s="1"/>
  <c r="L42" i="19"/>
  <c r="M42" i="19" s="1"/>
  <c r="L49" i="19"/>
  <c r="M49" i="19" s="1"/>
  <c r="L51" i="19"/>
  <c r="M51" i="19" s="1"/>
  <c r="L52" i="19"/>
  <c r="M52" i="19" s="1"/>
  <c r="L50" i="19"/>
  <c r="M50" i="19" s="1"/>
  <c r="L30" i="19"/>
  <c r="M30" i="19" s="1"/>
  <c r="AF148" i="12"/>
  <c r="AG148" i="12" s="1"/>
  <c r="AF225" i="12"/>
  <c r="AG225" i="12" s="1"/>
  <c r="AB75" i="12"/>
  <c r="AH75" i="12" s="1"/>
  <c r="AF123" i="12"/>
  <c r="AG123" i="12" s="1"/>
  <c r="AF33" i="12"/>
  <c r="AG33" i="12" s="1"/>
  <c r="D49" i="2"/>
  <c r="AB287" i="12"/>
  <c r="AC287" i="12" s="1"/>
  <c r="AC234" i="12"/>
  <c r="AF141" i="12"/>
  <c r="AG141" i="12" s="1"/>
  <c r="AF41" i="12"/>
  <c r="AG41" i="12" s="1"/>
  <c r="E26" i="1"/>
  <c r="F26" i="1" s="1"/>
  <c r="E24" i="1"/>
  <c r="F24" i="1" s="1"/>
  <c r="AF125" i="12"/>
  <c r="AG125" i="12" s="1"/>
  <c r="E32" i="1"/>
  <c r="F32" i="1" s="1"/>
  <c r="AF138" i="12"/>
  <c r="AG138" i="12" s="1"/>
  <c r="AB248" i="12"/>
  <c r="AH248" i="12" s="1"/>
  <c r="B45" i="2"/>
  <c r="AB94" i="12"/>
  <c r="AC94" i="12" s="1"/>
  <c r="AF211" i="12"/>
  <c r="AG211" i="12" s="1"/>
  <c r="AF187" i="12"/>
  <c r="AG187" i="12" s="1"/>
  <c r="B29" i="2"/>
  <c r="AB149" i="12"/>
  <c r="AC149" i="12" s="1"/>
  <c r="AF83" i="12"/>
  <c r="AG83" i="12" s="1"/>
  <c r="AF80" i="12"/>
  <c r="AG80" i="12" s="1"/>
  <c r="AH207" i="12"/>
  <c r="AB214" i="12"/>
  <c r="AC214" i="12" s="1"/>
  <c r="AF214" i="12"/>
  <c r="AG214" i="12" s="1"/>
  <c r="AB107" i="12"/>
  <c r="AC107" i="12" s="1"/>
  <c r="L139" i="15"/>
  <c r="M139" i="15" s="1"/>
  <c r="L142" i="15"/>
  <c r="M142" i="15" s="1"/>
  <c r="L54" i="15"/>
  <c r="M54" i="15" s="1"/>
  <c r="L136" i="15"/>
  <c r="M136" i="15" s="1"/>
  <c r="L124" i="15"/>
  <c r="M124" i="15" s="1"/>
  <c r="L43" i="19"/>
  <c r="M43" i="19" s="1"/>
  <c r="L26" i="19"/>
  <c r="M26" i="19" s="1"/>
  <c r="L29" i="19"/>
  <c r="M29" i="19" s="1"/>
  <c r="L44" i="19"/>
  <c r="M44" i="19" s="1"/>
  <c r="L32" i="19"/>
  <c r="M32" i="19" s="1"/>
  <c r="L31" i="19"/>
  <c r="M31" i="19" s="1"/>
  <c r="L48" i="19"/>
  <c r="M48" i="19" s="1"/>
  <c r="L27" i="19"/>
  <c r="M27" i="19" s="1"/>
  <c r="L31" i="15"/>
  <c r="M31" i="15" s="1"/>
  <c r="L135" i="15"/>
  <c r="M135" i="15" s="1"/>
  <c r="L125" i="15"/>
  <c r="M125" i="15" s="1"/>
  <c r="L44" i="15"/>
  <c r="M44" i="15" s="1"/>
  <c r="L46" i="15"/>
  <c r="M46" i="15" s="1"/>
  <c r="L126" i="15"/>
  <c r="M126" i="15" s="1"/>
  <c r="L61" i="15"/>
  <c r="M61" i="15" s="1"/>
  <c r="L32" i="15"/>
  <c r="M32" i="15" s="1"/>
  <c r="L45" i="15"/>
  <c r="M45" i="15" s="1"/>
  <c r="L63" i="15"/>
  <c r="M63" i="15" s="1"/>
  <c r="L117" i="15"/>
  <c r="M117" i="15" s="1"/>
  <c r="L37" i="19"/>
  <c r="M37" i="19" s="1"/>
  <c r="L38" i="19"/>
  <c r="M38" i="19" s="1"/>
  <c r="L53" i="19"/>
  <c r="M53" i="19" s="1"/>
  <c r="L34" i="19"/>
  <c r="M34" i="19" s="1"/>
  <c r="L35" i="19"/>
  <c r="M35" i="19" s="1"/>
  <c r="L55" i="19"/>
  <c r="M55" i="19" s="1"/>
  <c r="L45" i="19"/>
  <c r="M45" i="19" s="1"/>
  <c r="L47" i="19"/>
  <c r="M47" i="19" s="1"/>
  <c r="M21" i="19"/>
  <c r="L140" i="15"/>
  <c r="M140" i="15" s="1"/>
  <c r="L37" i="15"/>
  <c r="M37" i="15" s="1"/>
  <c r="L34" i="15"/>
  <c r="M34" i="15" s="1"/>
  <c r="L33" i="15"/>
  <c r="M33" i="15" s="1"/>
  <c r="L36" i="15"/>
  <c r="M36" i="15" s="1"/>
  <c r="L25" i="15"/>
  <c r="M25" i="15" s="1"/>
  <c r="L105" i="15"/>
  <c r="M105" i="15" s="1"/>
  <c r="L134" i="15"/>
  <c r="M134" i="15" s="1"/>
  <c r="L112" i="15"/>
  <c r="M112" i="15" s="1"/>
  <c r="L114" i="15"/>
  <c r="M114" i="15" s="1"/>
  <c r="L58" i="15"/>
  <c r="M58" i="15" s="1"/>
  <c r="L56" i="15"/>
  <c r="M56" i="15" s="1"/>
  <c r="L57" i="15"/>
  <c r="M57" i="15" s="1"/>
  <c r="L137" i="15"/>
  <c r="M137" i="15" s="1"/>
  <c r="L116" i="15"/>
  <c r="M116" i="15" s="1"/>
  <c r="L113" i="15"/>
  <c r="M113" i="15" s="1"/>
  <c r="AB45" i="12"/>
  <c r="AC45" i="12" s="1"/>
  <c r="AF45" i="12"/>
  <c r="AG45" i="12" s="1"/>
  <c r="AB247" i="12"/>
  <c r="AC247" i="12" s="1"/>
  <c r="AF247" i="12"/>
  <c r="AG247" i="12" s="1"/>
  <c r="AB221" i="12"/>
  <c r="AF221" i="12"/>
  <c r="AG221" i="12" s="1"/>
  <c r="D21" i="2"/>
  <c r="AF132" i="12"/>
  <c r="AG132" i="12" s="1"/>
  <c r="AB132" i="12"/>
  <c r="AC132" i="12" s="1"/>
  <c r="AF143" i="12"/>
  <c r="AG143" i="12" s="1"/>
  <c r="AB143" i="12"/>
  <c r="AC143" i="12" s="1"/>
  <c r="AB165" i="12"/>
  <c r="AC165" i="12" s="1"/>
  <c r="AF165" i="12"/>
  <c r="AG165" i="12" s="1"/>
  <c r="AB188" i="12"/>
  <c r="AC188" i="12" s="1"/>
  <c r="AF188" i="12"/>
  <c r="AG188" i="12" s="1"/>
  <c r="AB36" i="12"/>
  <c r="AC36" i="12" s="1"/>
  <c r="AB63" i="12"/>
  <c r="AC63" i="12" s="1"/>
  <c r="AF63" i="12"/>
  <c r="AG63" i="12" s="1"/>
  <c r="AF290" i="12"/>
  <c r="AG290" i="12" s="1"/>
  <c r="AB290" i="12"/>
  <c r="AC290" i="12" s="1"/>
  <c r="AB191" i="12"/>
  <c r="AC191" i="12" s="1"/>
  <c r="AF191" i="12"/>
  <c r="AG191" i="12" s="1"/>
  <c r="AF130" i="12"/>
  <c r="AG130" i="12" s="1"/>
  <c r="AB130" i="12"/>
  <c r="AD87" i="12"/>
  <c r="AD289" i="12"/>
  <c r="E94" i="1"/>
  <c r="F94" i="1" s="1"/>
  <c r="E90" i="1"/>
  <c r="F90" i="1" s="1"/>
  <c r="E88" i="1"/>
  <c r="F88" i="1" s="1"/>
  <c r="E96" i="1"/>
  <c r="F96" i="1" s="1"/>
  <c r="E23" i="2"/>
  <c r="E24" i="2"/>
  <c r="E35" i="18"/>
  <c r="E29" i="18"/>
  <c r="E37" i="18"/>
  <c r="E31" i="18"/>
  <c r="AD188" i="12"/>
  <c r="AD107" i="12"/>
  <c r="AD247" i="12"/>
  <c r="AD64" i="12"/>
  <c r="AD194" i="12"/>
  <c r="AF305" i="12"/>
  <c r="AB305" i="12"/>
  <c r="AF264" i="12"/>
  <c r="AG264" i="12" s="1"/>
  <c r="AB264" i="12"/>
  <c r="AF37" i="12"/>
  <c r="AG37" i="12" s="1"/>
  <c r="AB37" i="12"/>
  <c r="AC37" i="12" s="1"/>
  <c r="AB92" i="12"/>
  <c r="AF92" i="12"/>
  <c r="AG92" i="12" s="1"/>
  <c r="AB131" i="12"/>
  <c r="AF131" i="12"/>
  <c r="AG131" i="12" s="1"/>
  <c r="AB250" i="12"/>
  <c r="AF250" i="12"/>
  <c r="AG250" i="12" s="1"/>
  <c r="AF195" i="12"/>
  <c r="AB195" i="12"/>
  <c r="AF267" i="12"/>
  <c r="AB267" i="12"/>
  <c r="AF240" i="12"/>
  <c r="AG240" i="12" s="1"/>
  <c r="AB240" i="12"/>
  <c r="AB229" i="12"/>
  <c r="AC229" i="12" s="1"/>
  <c r="AF229" i="12"/>
  <c r="AG229" i="12" s="1"/>
  <c r="N11" i="4"/>
  <c r="L27" i="15" s="1"/>
  <c r="M27" i="15" s="1"/>
  <c r="AD183" i="12"/>
  <c r="AD199" i="12"/>
  <c r="AB84" i="12"/>
  <c r="AF84" i="12"/>
  <c r="AG84" i="12" s="1"/>
  <c r="AF276" i="12"/>
  <c r="AG276" i="12" s="1"/>
  <c r="AB276" i="12"/>
  <c r="AB27" i="12"/>
  <c r="AC27" i="12" s="1"/>
  <c r="AF27" i="12"/>
  <c r="AG27" i="12" s="1"/>
  <c r="AB183" i="12"/>
  <c r="AC183" i="12" s="1"/>
  <c r="AF183" i="12"/>
  <c r="AG183" i="12" s="1"/>
  <c r="AF182" i="12"/>
  <c r="AG182" i="12" s="1"/>
  <c r="AB182" i="12"/>
  <c r="AD285" i="12"/>
  <c r="AD97" i="12"/>
  <c r="AB71" i="12"/>
  <c r="AC71" i="12" s="1"/>
  <c r="AF71" i="12"/>
  <c r="AG71" i="12" s="1"/>
  <c r="AF51" i="12"/>
  <c r="AB51" i="12"/>
  <c r="AF235" i="12"/>
  <c r="AB235" i="12"/>
  <c r="AD105" i="12"/>
  <c r="AD170" i="12"/>
  <c r="AD83" i="12"/>
  <c r="AD73" i="12"/>
  <c r="AD298" i="12"/>
  <c r="AB242" i="12"/>
  <c r="AF242" i="12"/>
  <c r="AG242" i="12" s="1"/>
  <c r="AB159" i="12"/>
  <c r="AC159" i="12" s="1"/>
  <c r="AF159" i="12"/>
  <c r="AG159" i="12" s="1"/>
  <c r="AB153" i="12"/>
  <c r="AC153" i="12" s="1"/>
  <c r="AF153" i="12"/>
  <c r="AG153" i="12" s="1"/>
  <c r="AF208" i="12"/>
  <c r="AB208" i="12"/>
  <c r="AF53" i="12"/>
  <c r="AB53" i="12"/>
  <c r="AB22" i="12"/>
  <c r="AF22" i="12"/>
  <c r="AG22" i="12" s="1"/>
  <c r="AB24" i="12"/>
  <c r="AF24" i="12"/>
  <c r="AG24" i="12" s="1"/>
  <c r="AF278" i="12"/>
  <c r="AG278" i="12" s="1"/>
  <c r="AB278" i="12"/>
  <c r="AF175" i="12"/>
  <c r="AB175" i="12"/>
  <c r="AB104" i="12"/>
  <c r="AF104" i="12"/>
  <c r="AG104" i="12" s="1"/>
  <c r="AB272" i="12"/>
  <c r="AC272" i="12" s="1"/>
  <c r="AF272" i="12"/>
  <c r="AG272" i="12" s="1"/>
  <c r="AF126" i="12"/>
  <c r="AG126" i="12" s="1"/>
  <c r="AB126" i="12"/>
  <c r="AB259" i="12"/>
  <c r="AF259" i="12"/>
  <c r="AG259" i="12" s="1"/>
  <c r="AF236" i="12"/>
  <c r="AG236" i="12" s="1"/>
  <c r="AB236" i="12"/>
  <c r="AF296" i="12"/>
  <c r="AG296" i="12" s="1"/>
  <c r="AB296" i="12"/>
  <c r="AD181" i="12"/>
  <c r="AD161" i="12"/>
  <c r="AD129" i="12"/>
  <c r="AD215" i="12"/>
  <c r="AD229" i="12"/>
  <c r="AD297" i="12"/>
  <c r="AF302" i="12"/>
  <c r="AG302" i="12" s="1"/>
  <c r="AB302" i="12"/>
  <c r="AC302" i="12" s="1"/>
  <c r="AF209" i="12"/>
  <c r="AG209" i="12" s="1"/>
  <c r="AB209" i="12"/>
  <c r="AF301" i="12"/>
  <c r="AB301" i="12"/>
  <c r="AB269" i="12"/>
  <c r="AC269" i="12" s="1"/>
  <c r="AF269" i="12"/>
  <c r="AG269" i="12" s="1"/>
  <c r="AB127" i="12"/>
  <c r="AF127" i="12"/>
  <c r="AB300" i="12"/>
  <c r="AF300" i="12"/>
  <c r="AG300" i="12" s="1"/>
  <c r="AB268" i="12"/>
  <c r="AF268" i="12"/>
  <c r="AG268" i="12" s="1"/>
  <c r="AB133" i="12"/>
  <c r="AF133" i="12"/>
  <c r="AF54" i="12"/>
  <c r="AG54" i="12" s="1"/>
  <c r="AB54" i="12"/>
  <c r="AB237" i="12"/>
  <c r="AF237" i="12"/>
  <c r="AF201" i="12"/>
  <c r="AG201" i="12" s="1"/>
  <c r="AB201" i="12"/>
  <c r="AF210" i="12"/>
  <c r="AG210" i="12" s="1"/>
  <c r="AB210" i="12"/>
  <c r="AB186" i="12"/>
  <c r="AF186" i="12"/>
  <c r="AG186" i="12" s="1"/>
  <c r="AB181" i="12"/>
  <c r="AC181" i="12" s="1"/>
  <c r="AF181" i="12"/>
  <c r="AG181" i="12" s="1"/>
  <c r="AF213" i="12"/>
  <c r="AG213" i="12" s="1"/>
  <c r="AB213" i="12"/>
  <c r="AC213" i="12" s="1"/>
  <c r="AB50" i="12"/>
  <c r="AF50" i="12"/>
  <c r="AG50" i="12" s="1"/>
  <c r="AB262" i="12"/>
  <c r="AF262" i="12"/>
  <c r="AG262" i="12" s="1"/>
  <c r="AF260" i="12"/>
  <c r="AG260" i="12" s="1"/>
  <c r="AB260" i="12"/>
  <c r="AB78" i="12"/>
  <c r="AF78" i="12"/>
  <c r="AG78" i="12" s="1"/>
  <c r="AB206" i="12"/>
  <c r="AF206" i="12"/>
  <c r="AG206" i="12" s="1"/>
  <c r="AF158" i="12"/>
  <c r="AG158" i="12" s="1"/>
  <c r="AB158" i="12"/>
  <c r="AF292" i="12"/>
  <c r="AG292" i="12" s="1"/>
  <c r="AB292" i="12"/>
  <c r="AF112" i="12"/>
  <c r="AG112" i="12" s="1"/>
  <c r="AB112" i="12"/>
  <c r="AC112" i="12" s="1"/>
  <c r="AF202" i="12"/>
  <c r="AG202" i="12" s="1"/>
  <c r="AB202" i="12"/>
  <c r="AB219" i="12"/>
  <c r="AF219" i="12"/>
  <c r="AB136" i="12"/>
  <c r="AF136" i="12"/>
  <c r="AG136" i="12" s="1"/>
  <c r="AB39" i="12"/>
  <c r="AF39" i="12"/>
  <c r="AB119" i="12"/>
  <c r="AF119" i="12"/>
  <c r="AF65" i="12"/>
  <c r="AG65" i="12" s="1"/>
  <c r="AB65" i="12"/>
  <c r="AC65" i="12" s="1"/>
  <c r="N15" i="4"/>
  <c r="AD27" i="12"/>
  <c r="AD272" i="12"/>
  <c r="AD211" i="12"/>
  <c r="AB116" i="12"/>
  <c r="AF116" i="12"/>
  <c r="AG116" i="12" s="1"/>
  <c r="AB95" i="12"/>
  <c r="AF95" i="12"/>
  <c r="AF274" i="12"/>
  <c r="AG274" i="12" s="1"/>
  <c r="AB274" i="12"/>
  <c r="AF144" i="12"/>
  <c r="AG144" i="12" s="1"/>
  <c r="AB144" i="12"/>
  <c r="AB152" i="12"/>
  <c r="AC152" i="12" s="1"/>
  <c r="AF152" i="12"/>
  <c r="AG152" i="12" s="1"/>
  <c r="AF177" i="12"/>
  <c r="AB177" i="12"/>
  <c r="AF38" i="12"/>
  <c r="AG38" i="12" s="1"/>
  <c r="AB38" i="12"/>
  <c r="AF161" i="12"/>
  <c r="AG161" i="12" s="1"/>
  <c r="AB161" i="12"/>
  <c r="AC161" i="12" s="1"/>
  <c r="AF91" i="12"/>
  <c r="AB91" i="12"/>
  <c r="AF298" i="12"/>
  <c r="AG298" i="12" s="1"/>
  <c r="AB298" i="12"/>
  <c r="AC298" i="12" s="1"/>
  <c r="AC166" i="12"/>
  <c r="AD137" i="12"/>
  <c r="AD225" i="12"/>
  <c r="AD239" i="12"/>
  <c r="AF34" i="12"/>
  <c r="AB34" i="12"/>
  <c r="AB295" i="12"/>
  <c r="AF295" i="12"/>
  <c r="AB90" i="12"/>
  <c r="AF90" i="12"/>
  <c r="AG90" i="12" s="1"/>
  <c r="AB168" i="12"/>
  <c r="AF168" i="12"/>
  <c r="AG168" i="12" s="1"/>
  <c r="AB180" i="12"/>
  <c r="AF180" i="12"/>
  <c r="AG180" i="12" s="1"/>
  <c r="AF162" i="12"/>
  <c r="AG162" i="12" s="1"/>
  <c r="AB162" i="12"/>
  <c r="AB68" i="12"/>
  <c r="AF68" i="12"/>
  <c r="AB49" i="12"/>
  <c r="AF49" i="12"/>
  <c r="AB299" i="12"/>
  <c r="AF299" i="12"/>
  <c r="E101" i="1"/>
  <c r="F101" i="1" s="1"/>
  <c r="E92" i="1"/>
  <c r="F92" i="1" s="1"/>
  <c r="E91" i="1"/>
  <c r="F91" i="1" s="1"/>
  <c r="E98" i="1"/>
  <c r="F98" i="1" s="1"/>
  <c r="E95" i="1"/>
  <c r="F95" i="1" s="1"/>
  <c r="E100" i="1"/>
  <c r="F100" i="1" s="1"/>
  <c r="L103" i="1"/>
  <c r="E103" i="1" s="1"/>
  <c r="F103" i="1" s="1"/>
  <c r="E89" i="1"/>
  <c r="F89" i="1" s="1"/>
  <c r="E86" i="1"/>
  <c r="E97" i="1"/>
  <c r="F97" i="1" s="1"/>
  <c r="AB110" i="12"/>
  <c r="AF110" i="12"/>
  <c r="AG110" i="12" s="1"/>
  <c r="AB135" i="12"/>
  <c r="AC135" i="12" s="1"/>
  <c r="AF135" i="12"/>
  <c r="AG135" i="12" s="1"/>
  <c r="AC307" i="12"/>
  <c r="AD222" i="12"/>
  <c r="AD141" i="12"/>
  <c r="AD220" i="12"/>
  <c r="AF263" i="12"/>
  <c r="AB263" i="12"/>
  <c r="AB108" i="12"/>
  <c r="AF108" i="12"/>
  <c r="AB281" i="12"/>
  <c r="AF281" i="12"/>
  <c r="AG281" i="12" s="1"/>
  <c r="AB171" i="12"/>
  <c r="AC171" i="12" s="1"/>
  <c r="AF171" i="12"/>
  <c r="AG171" i="12" s="1"/>
  <c r="C15" i="17"/>
  <c r="C16" i="17" s="1"/>
  <c r="C14" i="17"/>
  <c r="AF145" i="12"/>
  <c r="AG145" i="12" s="1"/>
  <c r="AB145" i="12"/>
  <c r="AF124" i="12"/>
  <c r="AG124" i="12" s="1"/>
  <c r="AB124" i="12"/>
  <c r="AB294" i="12"/>
  <c r="AF294" i="12"/>
  <c r="AG294" i="12" s="1"/>
  <c r="AF129" i="12"/>
  <c r="AG129" i="12" s="1"/>
  <c r="AB129" i="12"/>
  <c r="AC129" i="12" s="1"/>
  <c r="AF157" i="12"/>
  <c r="AG157" i="12" s="1"/>
  <c r="AB157" i="12"/>
  <c r="AC157" i="12" s="1"/>
  <c r="AB117" i="12"/>
  <c r="AC117" i="12" s="1"/>
  <c r="AF117" i="12"/>
  <c r="AG117" i="12" s="1"/>
  <c r="AB285" i="12"/>
  <c r="AC285" i="12" s="1"/>
  <c r="AF285" i="12"/>
  <c r="AG285" i="12" s="1"/>
  <c r="AF200" i="12"/>
  <c r="AG200" i="12" s="1"/>
  <c r="AB200" i="12"/>
  <c r="AB199" i="12"/>
  <c r="AC199" i="12" s="1"/>
  <c r="AF199" i="12"/>
  <c r="AG199" i="12" s="1"/>
  <c r="AF120" i="12"/>
  <c r="AG120" i="12" s="1"/>
  <c r="AB120" i="12"/>
  <c r="AC120" i="12" s="1"/>
  <c r="AB283" i="12"/>
  <c r="AF283" i="12"/>
  <c r="AF151" i="12"/>
  <c r="AB151" i="12"/>
  <c r="AD187" i="12"/>
  <c r="AD147" i="12"/>
  <c r="AD308" i="12"/>
  <c r="AD154" i="12"/>
  <c r="AF231" i="12"/>
  <c r="AG231" i="12" s="1"/>
  <c r="AB231" i="12"/>
  <c r="AF23" i="12"/>
  <c r="AB23" i="12"/>
  <c r="AF163" i="12"/>
  <c r="AB163" i="12"/>
  <c r="AF226" i="12"/>
  <c r="AG226" i="12" s="1"/>
  <c r="AB226" i="12"/>
  <c r="AC226" i="12" s="1"/>
  <c r="AF73" i="12"/>
  <c r="AG73" i="12" s="1"/>
  <c r="AB73" i="12"/>
  <c r="AC73" i="12" s="1"/>
  <c r="AF64" i="12"/>
  <c r="AG64" i="12" s="1"/>
  <c r="AB64" i="12"/>
  <c r="AC64" i="12" s="1"/>
  <c r="AF193" i="12"/>
  <c r="AB193" i="12"/>
  <c r="AB32" i="12"/>
  <c r="AF32" i="12"/>
  <c r="AG32" i="12" s="1"/>
  <c r="AF222" i="12"/>
  <c r="AG222" i="12" s="1"/>
  <c r="AB222" i="12"/>
  <c r="AC222" i="12" s="1"/>
  <c r="AF137" i="12"/>
  <c r="AG137" i="12" s="1"/>
  <c r="AB137" i="12"/>
  <c r="AC137" i="12" s="1"/>
  <c r="AF258" i="12"/>
  <c r="AG258" i="12" s="1"/>
  <c r="AB258" i="12"/>
  <c r="AB85" i="12"/>
  <c r="AF85" i="12"/>
  <c r="AB306" i="12"/>
  <c r="AF306" i="12"/>
  <c r="AG306" i="12" s="1"/>
  <c r="AF253" i="12"/>
  <c r="AG253" i="12" s="1"/>
  <c r="AB253" i="12"/>
  <c r="AC253" i="12" s="1"/>
  <c r="AF109" i="12"/>
  <c r="AB109" i="12"/>
  <c r="N12" i="4"/>
  <c r="AD35" i="12"/>
  <c r="AD71" i="12"/>
  <c r="AD226" i="12"/>
  <c r="AD249" i="12"/>
  <c r="AD153" i="12"/>
  <c r="AD257" i="12"/>
  <c r="AD173" i="12"/>
  <c r="AD214" i="12"/>
  <c r="AD286" i="12"/>
  <c r="AD65" i="12"/>
  <c r="AD149" i="12"/>
  <c r="AD269" i="12"/>
  <c r="AC96" i="12"/>
  <c r="AB288" i="12"/>
  <c r="AC288" i="12" s="1"/>
  <c r="AF288" i="12"/>
  <c r="AG288" i="12" s="1"/>
  <c r="AF255" i="12"/>
  <c r="AB255" i="12"/>
  <c r="AF155" i="12"/>
  <c r="AB155" i="12"/>
  <c r="AF203" i="12"/>
  <c r="AG203" i="12" s="1"/>
  <c r="AB203" i="12"/>
  <c r="AC203" i="12" s="1"/>
  <c r="AB97" i="12"/>
  <c r="AC97" i="12" s="1"/>
  <c r="AF97" i="12"/>
  <c r="AG97" i="12" s="1"/>
  <c r="AF40" i="12"/>
  <c r="AG40" i="12" s="1"/>
  <c r="AB40" i="12"/>
  <c r="AC40" i="12" s="1"/>
  <c r="AB147" i="12"/>
  <c r="AC147" i="12" s="1"/>
  <c r="AF147" i="12"/>
  <c r="AG147" i="12" s="1"/>
  <c r="AB74" i="12"/>
  <c r="AF74" i="12"/>
  <c r="AG74" i="12" s="1"/>
  <c r="AF55" i="12"/>
  <c r="AG55" i="12" s="1"/>
  <c r="AB55" i="12"/>
  <c r="AF179" i="12"/>
  <c r="AB179" i="12"/>
  <c r="AF277" i="12"/>
  <c r="AB277" i="12"/>
  <c r="AF169" i="12"/>
  <c r="AG169" i="12" s="1"/>
  <c r="AB169" i="12"/>
  <c r="AB261" i="12"/>
  <c r="AF261" i="12"/>
  <c r="AB28" i="12"/>
  <c r="AF28" i="12"/>
  <c r="AG28" i="12" s="1"/>
  <c r="AF140" i="12"/>
  <c r="AG140" i="12" s="1"/>
  <c r="AB140" i="12"/>
  <c r="AF282" i="12"/>
  <c r="AG282" i="12" s="1"/>
  <c r="AB282" i="12"/>
  <c r="AB66" i="12"/>
  <c r="AF66" i="12"/>
  <c r="AG66" i="12" s="1"/>
  <c r="AB249" i="12"/>
  <c r="AC249" i="12" s="1"/>
  <c r="AF249" i="12"/>
  <c r="AG249" i="12" s="1"/>
  <c r="AB48" i="12"/>
  <c r="AF48" i="12"/>
  <c r="AG48" i="12" s="1"/>
  <c r="L109" i="19"/>
  <c r="M109" i="19" s="1"/>
  <c r="M54" i="19"/>
  <c r="L104" i="19"/>
  <c r="M104" i="19" s="1"/>
  <c r="L106" i="19"/>
  <c r="M106" i="19" s="1"/>
  <c r="L135" i="19"/>
  <c r="M135" i="19" s="1"/>
  <c r="L110" i="19"/>
  <c r="M110" i="19" s="1"/>
  <c r="L133" i="19"/>
  <c r="M133" i="19" s="1"/>
  <c r="L107" i="19"/>
  <c r="M107" i="19" s="1"/>
  <c r="L132" i="19"/>
  <c r="M132" i="19" s="1"/>
  <c r="L93" i="19"/>
  <c r="L105" i="19"/>
  <c r="M105" i="19" s="1"/>
  <c r="L127" i="19"/>
  <c r="M127" i="19" s="1"/>
  <c r="L118" i="19"/>
  <c r="M118" i="19" s="1"/>
  <c r="L22" i="19"/>
  <c r="L98" i="19"/>
  <c r="M98" i="19" s="1"/>
  <c r="L128" i="19"/>
  <c r="M128" i="19" s="1"/>
  <c r="L129" i="19"/>
  <c r="M129" i="19" s="1"/>
  <c r="L130" i="19"/>
  <c r="M130" i="19" s="1"/>
  <c r="L117" i="19"/>
  <c r="M117" i="19" s="1"/>
  <c r="L119" i="19"/>
  <c r="M119" i="19" s="1"/>
  <c r="AF241" i="12"/>
  <c r="AB241" i="12"/>
  <c r="AF29" i="12"/>
  <c r="AB29" i="12"/>
  <c r="AB223" i="12"/>
  <c r="AF223" i="12"/>
  <c r="AB280" i="12"/>
  <c r="AF280" i="12"/>
  <c r="AG280" i="12" s="1"/>
  <c r="AF52" i="12"/>
  <c r="AG52" i="12" s="1"/>
  <c r="AB52" i="12"/>
  <c r="AB70" i="12"/>
  <c r="AF70" i="12"/>
  <c r="AG70" i="12" s="1"/>
  <c r="AB93" i="12"/>
  <c r="AF93" i="12"/>
  <c r="AB256" i="12"/>
  <c r="AF256" i="12"/>
  <c r="AG256" i="12" s="1"/>
  <c r="AB154" i="12"/>
  <c r="AC154" i="12" s="1"/>
  <c r="AF154" i="12"/>
  <c r="AG154" i="12" s="1"/>
  <c r="N16" i="4"/>
  <c r="N17" i="4"/>
  <c r="AD172" i="12"/>
  <c r="AD135" i="12"/>
  <c r="AB185" i="12"/>
  <c r="AC185" i="12" s="1"/>
  <c r="AF185" i="12"/>
  <c r="AG185" i="12" s="1"/>
  <c r="AB232" i="12"/>
  <c r="AC232" i="12" s="1"/>
  <c r="AF232" i="12"/>
  <c r="AG232" i="12" s="1"/>
  <c r="AB56" i="12"/>
  <c r="AF56" i="12"/>
  <c r="AG56" i="12" s="1"/>
  <c r="AF21" i="12"/>
  <c r="AB21" i="12"/>
  <c r="AD171" i="12"/>
  <c r="AD94" i="12"/>
  <c r="AF31" i="12"/>
  <c r="AB31" i="12"/>
  <c r="AB196" i="12"/>
  <c r="AF196" i="12"/>
  <c r="AG196" i="12" s="1"/>
  <c r="AB251" i="12"/>
  <c r="AF251" i="12"/>
  <c r="AF42" i="12"/>
  <c r="AB42" i="12"/>
  <c r="AB79" i="12"/>
  <c r="AC79" i="12" s="1"/>
  <c r="AF79" i="12"/>
  <c r="AG79" i="12" s="1"/>
  <c r="AB257" i="12"/>
  <c r="AC257" i="12" s="1"/>
  <c r="AF257" i="12"/>
  <c r="AG257" i="12" s="1"/>
  <c r="AF217" i="12"/>
  <c r="AB217" i="12"/>
  <c r="N13" i="4"/>
  <c r="AD203" i="12"/>
  <c r="AD152" i="12"/>
  <c r="AF105" i="12"/>
  <c r="AG105" i="12" s="1"/>
  <c r="AB105" i="12"/>
  <c r="AC105" i="12" s="1"/>
  <c r="AB297" i="12"/>
  <c r="AC297" i="12" s="1"/>
  <c r="AF297" i="12"/>
  <c r="AG297" i="12" s="1"/>
  <c r="AD304" i="12"/>
  <c r="AD81" i="12"/>
  <c r="AD205" i="12"/>
  <c r="AD123" i="12"/>
  <c r="AD79" i="12"/>
  <c r="AD302" i="12"/>
  <c r="AD125" i="12"/>
  <c r="AD185" i="12"/>
  <c r="AB204" i="12"/>
  <c r="AF204" i="12"/>
  <c r="AG204" i="12" s="1"/>
  <c r="AF239" i="12"/>
  <c r="AG239" i="12" s="1"/>
  <c r="AB239" i="12"/>
  <c r="AC239" i="12" s="1"/>
  <c r="AB160" i="12"/>
  <c r="AF160" i="12"/>
  <c r="AG160" i="12" s="1"/>
  <c r="AB291" i="12"/>
  <c r="AF291" i="12"/>
  <c r="AG291" i="12" s="1"/>
  <c r="AB303" i="12"/>
  <c r="AF303" i="12"/>
  <c r="AB293" i="12"/>
  <c r="AF293" i="12"/>
  <c r="AF197" i="12"/>
  <c r="AB197" i="12"/>
  <c r="AF220" i="12"/>
  <c r="AG220" i="12" s="1"/>
  <c r="AB220" i="12"/>
  <c r="AC220" i="12" s="1"/>
  <c r="AF286" i="12"/>
  <c r="AG286" i="12" s="1"/>
  <c r="AB286" i="12"/>
  <c r="AC286" i="12" s="1"/>
  <c r="AB44" i="12"/>
  <c r="AF44" i="12"/>
  <c r="AG44" i="12" s="1"/>
  <c r="AB72" i="12"/>
  <c r="AF72" i="12"/>
  <c r="AG72" i="12" s="1"/>
  <c r="AF184" i="12"/>
  <c r="AG184" i="12" s="1"/>
  <c r="AB184" i="12"/>
  <c r="AF192" i="12"/>
  <c r="AB192" i="12"/>
  <c r="AF102" i="12"/>
  <c r="AG102" i="12" s="1"/>
  <c r="AB102" i="12"/>
  <c r="AB230" i="12"/>
  <c r="AF230" i="12"/>
  <c r="AG230" i="12" s="1"/>
  <c r="E33" i="18"/>
  <c r="L44" i="18"/>
  <c r="E44" i="18" s="1"/>
  <c r="E36" i="18"/>
  <c r="E41" i="18"/>
  <c r="E39" i="18"/>
  <c r="E38" i="18"/>
  <c r="E42" i="18"/>
  <c r="E30" i="18"/>
  <c r="E32" i="18"/>
  <c r="E27" i="18"/>
  <c r="AF173" i="12"/>
  <c r="AG173" i="12" s="1"/>
  <c r="AB173" i="12"/>
  <c r="AC173" i="12" s="1"/>
  <c r="AF139" i="12"/>
  <c r="AB139" i="12"/>
  <c r="AB170" i="12"/>
  <c r="AC170" i="12" s="1"/>
  <c r="AF170" i="12"/>
  <c r="AG170" i="12" s="1"/>
  <c r="AF212" i="12"/>
  <c r="AG212" i="12" s="1"/>
  <c r="AB212" i="12"/>
  <c r="AB194" i="12"/>
  <c r="AC194" i="12" s="1"/>
  <c r="AF194" i="12"/>
  <c r="AG194" i="12" s="1"/>
  <c r="AB59" i="12"/>
  <c r="AF59" i="12"/>
  <c r="AB76" i="12"/>
  <c r="AF76" i="12"/>
  <c r="AG76" i="12" s="1"/>
  <c r="AF26" i="12"/>
  <c r="AG26" i="12" s="1"/>
  <c r="AB26" i="12"/>
  <c r="AB134" i="12"/>
  <c r="AF134" i="12"/>
  <c r="AG134" i="12" s="1"/>
  <c r="AB275" i="12"/>
  <c r="AF275" i="12"/>
  <c r="AG275" i="12" s="1"/>
  <c r="AB246" i="12"/>
  <c r="AF246" i="12"/>
  <c r="AG246" i="12" s="1"/>
  <c r="AB111" i="12"/>
  <c r="AF111" i="12"/>
  <c r="AF266" i="12"/>
  <c r="AG266" i="12" s="1"/>
  <c r="AB266" i="12"/>
  <c r="N18" i="4"/>
  <c r="AC80" i="12"/>
  <c r="AD117" i="12"/>
  <c r="AF121" i="12"/>
  <c r="AG121" i="12" s="1"/>
  <c r="AB121" i="12"/>
  <c r="AB233" i="12"/>
  <c r="AF233" i="12"/>
  <c r="M111" i="15"/>
  <c r="L100" i="15"/>
  <c r="AF69" i="12"/>
  <c r="AG69" i="12" s="1"/>
  <c r="AB69" i="12"/>
  <c r="AF150" i="12"/>
  <c r="AG150" i="12" s="1"/>
  <c r="AB150" i="12"/>
  <c r="AD120" i="12"/>
  <c r="AF252" i="12"/>
  <c r="AG252" i="12" s="1"/>
  <c r="AB252" i="12"/>
  <c r="AF167" i="12"/>
  <c r="AG167" i="12" s="1"/>
  <c r="AB167" i="12"/>
  <c r="AC167" i="12" s="1"/>
  <c r="AF164" i="12"/>
  <c r="AG164" i="12" s="1"/>
  <c r="AB164" i="12"/>
  <c r="AF46" i="12"/>
  <c r="AG46" i="12" s="1"/>
  <c r="AB46" i="12"/>
  <c r="AB118" i="12"/>
  <c r="AF118" i="12"/>
  <c r="AG118" i="12" s="1"/>
  <c r="AC198" i="12"/>
  <c r="AD167" i="12"/>
  <c r="AD112" i="12"/>
  <c r="AB86" i="12"/>
  <c r="AF86" i="12"/>
  <c r="AG86" i="12" s="1"/>
  <c r="AB101" i="12"/>
  <c r="AF101" i="12"/>
  <c r="AF115" i="12"/>
  <c r="AB115" i="12"/>
  <c r="AB98" i="12"/>
  <c r="AF98" i="12"/>
  <c r="AG98" i="12" s="1"/>
  <c r="AF88" i="12"/>
  <c r="AB88" i="12"/>
  <c r="AF215" i="12"/>
  <c r="AG215" i="12" s="1"/>
  <c r="AB215" i="12"/>
  <c r="AC215" i="12" s="1"/>
  <c r="AF61" i="12"/>
  <c r="AB61" i="12"/>
  <c r="AF113" i="12"/>
  <c r="AB113" i="12"/>
  <c r="AG271" i="12"/>
  <c r="N14" i="4"/>
  <c r="AD37" i="12"/>
  <c r="AD157" i="12"/>
  <c r="AD227" i="12"/>
  <c r="AD253" i="12"/>
  <c r="AD40" i="12"/>
  <c r="AD159" i="12"/>
  <c r="AD288" i="12"/>
  <c r="AD213" i="12"/>
  <c r="AD232" i="12"/>
  <c r="AD122" i="12"/>
  <c r="AC228" i="12"/>
  <c r="AF189" i="12"/>
  <c r="AB189" i="12"/>
  <c r="AF205" i="12"/>
  <c r="AG205" i="12" s="1"/>
  <c r="AB205" i="12"/>
  <c r="AC205" i="12" s="1"/>
  <c r="AB304" i="12"/>
  <c r="AC304" i="12" s="1"/>
  <c r="AF304" i="12"/>
  <c r="AG304" i="12" s="1"/>
  <c r="AF122" i="12"/>
  <c r="AG122" i="12" s="1"/>
  <c r="AB122" i="12"/>
  <c r="AC122" i="12" s="1"/>
  <c r="E34" i="1"/>
  <c r="F34" i="1" s="1"/>
  <c r="E28" i="1"/>
  <c r="F28" i="1" s="1"/>
  <c r="L42" i="1"/>
  <c r="E42" i="1" s="1"/>
  <c r="F42" i="1" s="1"/>
  <c r="E22" i="1"/>
  <c r="E27" i="1"/>
  <c r="F27" i="1" s="1"/>
  <c r="E36" i="1"/>
  <c r="F36" i="1" s="1"/>
  <c r="E40" i="1"/>
  <c r="F40" i="1" s="1"/>
  <c r="E31" i="1"/>
  <c r="F31" i="1" s="1"/>
  <c r="E39" i="1"/>
  <c r="F39" i="1" s="1"/>
  <c r="E33" i="1"/>
  <c r="F33" i="1" s="1"/>
  <c r="E25" i="1"/>
  <c r="F25" i="1" s="1"/>
  <c r="E37" i="1"/>
  <c r="F37" i="1" s="1"/>
  <c r="AF77" i="12"/>
  <c r="AB77" i="12"/>
  <c r="AF30" i="12"/>
  <c r="AG30" i="12" s="1"/>
  <c r="AB30" i="12"/>
  <c r="AF43" i="12"/>
  <c r="AG43" i="12" s="1"/>
  <c r="AB43" i="12"/>
  <c r="AF35" i="12"/>
  <c r="AG35" i="12" s="1"/>
  <c r="AB35" i="12"/>
  <c r="AC35" i="12" s="1"/>
  <c r="AF279" i="12"/>
  <c r="AG279" i="12" s="1"/>
  <c r="AB279" i="12"/>
  <c r="AF100" i="12"/>
  <c r="AG100" i="12" s="1"/>
  <c r="AB100" i="12"/>
  <c r="AB308" i="12"/>
  <c r="AC308" i="12" s="1"/>
  <c r="AF308" i="12"/>
  <c r="AG308" i="12" s="1"/>
  <c r="AB218" i="12"/>
  <c r="AF218" i="12"/>
  <c r="AG218" i="12" s="1"/>
  <c r="AF156" i="12"/>
  <c r="AG156" i="12" s="1"/>
  <c r="AB156" i="12"/>
  <c r="AB284" i="12"/>
  <c r="AF284" i="12"/>
  <c r="AG284" i="12" s="1"/>
  <c r="AF244" i="12"/>
  <c r="AG244" i="12" s="1"/>
  <c r="AB244" i="12"/>
  <c r="AB176" i="12"/>
  <c r="AF176" i="12"/>
  <c r="AG176" i="12" s="1"/>
  <c r="AB58" i="12"/>
  <c r="AF58" i="12"/>
  <c r="AB270" i="12"/>
  <c r="AF270" i="12"/>
  <c r="AG270" i="12" s="1"/>
  <c r="AB273" i="12"/>
  <c r="AF273" i="12"/>
  <c r="AB265" i="12"/>
  <c r="AF265" i="12"/>
  <c r="AG265" i="12" s="1"/>
  <c r="AB47" i="12"/>
  <c r="AF47" i="12"/>
  <c r="AF216" i="12"/>
  <c r="AG216" i="12" s="1"/>
  <c r="AB216" i="12"/>
  <c r="AF174" i="12"/>
  <c r="AG174" i="12" s="1"/>
  <c r="AB174" i="12"/>
  <c r="AB99" i="12"/>
  <c r="AF99" i="12"/>
  <c r="AG99" i="12" s="1"/>
  <c r="AF224" i="12"/>
  <c r="AG224" i="12" s="1"/>
  <c r="AB224" i="12"/>
  <c r="AB103" i="12"/>
  <c r="AF103" i="12"/>
  <c r="AG103" i="12" s="1"/>
  <c r="AF254" i="12"/>
  <c r="AG254" i="12" s="1"/>
  <c r="AB254" i="12"/>
  <c r="N19" i="4"/>
  <c r="AC89" i="12"/>
  <c r="N10" i="4"/>
  <c r="AH36" i="12" l="1"/>
  <c r="AJ36" i="12" s="1"/>
  <c r="AK36" i="12" s="1"/>
  <c r="F28" i="2"/>
  <c r="AN82" i="12"/>
  <c r="L30" i="15"/>
  <c r="M30" i="15" s="1"/>
  <c r="L60" i="15"/>
  <c r="M60" i="15" s="1"/>
  <c r="L24" i="15"/>
  <c r="M24" i="15" s="1"/>
  <c r="L28" i="15"/>
  <c r="M28" i="15" s="1"/>
  <c r="L51" i="15"/>
  <c r="M51" i="15" s="1"/>
  <c r="L50" i="15"/>
  <c r="M50" i="15" s="1"/>
  <c r="L42" i="15"/>
  <c r="M42" i="15" s="1"/>
  <c r="L43" i="15"/>
  <c r="M43" i="15" s="1"/>
  <c r="L52" i="15"/>
  <c r="M52" i="15" s="1"/>
  <c r="L53" i="15"/>
  <c r="M53" i="15" s="1"/>
  <c r="L49" i="15"/>
  <c r="M49" i="15" s="1"/>
  <c r="L48" i="15"/>
  <c r="M48" i="15" s="1"/>
  <c r="L41" i="15"/>
  <c r="M41" i="15" s="1"/>
  <c r="L29" i="15"/>
  <c r="M29" i="15" s="1"/>
  <c r="M19" i="15"/>
  <c r="AJ207" i="12"/>
  <c r="AK207" i="12" s="1"/>
  <c r="AH114" i="12"/>
  <c r="AJ114" i="12" s="1"/>
  <c r="AK114" i="12" s="1"/>
  <c r="AH106" i="12"/>
  <c r="AJ106" i="12" s="1"/>
  <c r="AK106" i="12" s="1"/>
  <c r="AH57" i="12"/>
  <c r="AJ57" i="12" s="1"/>
  <c r="AK57" i="12" s="1"/>
  <c r="AH307" i="12"/>
  <c r="AJ307" i="12" s="1"/>
  <c r="AK307" i="12" s="1"/>
  <c r="AH62" i="12"/>
  <c r="AJ62" i="12" s="1"/>
  <c r="AK62" i="12" s="1"/>
  <c r="AC271" i="12"/>
  <c r="AJ271" i="12" s="1"/>
  <c r="AK271" i="12" s="1"/>
  <c r="AH142" i="12"/>
  <c r="AJ142" i="12" s="1"/>
  <c r="AK142" i="12" s="1"/>
  <c r="AJ234" i="12"/>
  <c r="AK234" i="12" s="1"/>
  <c r="AH87" i="12"/>
  <c r="AJ87" i="12" s="1"/>
  <c r="AK87" i="12" s="1"/>
  <c r="AH190" i="12"/>
  <c r="AJ190" i="12" s="1"/>
  <c r="AK190" i="12" s="1"/>
  <c r="AH245" i="12"/>
  <c r="AJ245" i="12" s="1"/>
  <c r="AK245" i="12" s="1"/>
  <c r="AH60" i="12"/>
  <c r="AJ60" i="12" s="1"/>
  <c r="AK60" i="12" s="1"/>
  <c r="AH238" i="12"/>
  <c r="AJ238" i="12" s="1"/>
  <c r="AK238" i="12" s="1"/>
  <c r="AH166" i="12"/>
  <c r="AJ166" i="12" s="1"/>
  <c r="AK166" i="12" s="1"/>
  <c r="AH228" i="12"/>
  <c r="AJ228" i="12" s="1"/>
  <c r="AK228" i="12" s="1"/>
  <c r="AC75" i="12"/>
  <c r="AJ75" i="12" s="1"/>
  <c r="AK75" i="12" s="1"/>
  <c r="AH198" i="12"/>
  <c r="AJ198" i="12" s="1"/>
  <c r="AK198" i="12" s="1"/>
  <c r="AH41" i="12"/>
  <c r="AJ41" i="12" s="1"/>
  <c r="AK41" i="12" s="1"/>
  <c r="AH172" i="12"/>
  <c r="AJ172" i="12" s="1"/>
  <c r="AK172" i="12" s="1"/>
  <c r="AH123" i="12"/>
  <c r="AJ123" i="12" s="1"/>
  <c r="AK123" i="12" s="1"/>
  <c r="AH146" i="12"/>
  <c r="AJ146" i="12" s="1"/>
  <c r="AK146" i="12" s="1"/>
  <c r="AC128" i="12"/>
  <c r="AJ128" i="12" s="1"/>
  <c r="AK128" i="12" s="1"/>
  <c r="AH243" i="12"/>
  <c r="AJ243" i="12" s="1"/>
  <c r="AK243" i="12" s="1"/>
  <c r="AC25" i="12"/>
  <c r="AJ25" i="12" s="1"/>
  <c r="AK25" i="12" s="1"/>
  <c r="AH287" i="12"/>
  <c r="AJ287" i="12" s="1"/>
  <c r="AK287" i="12" s="1"/>
  <c r="AH138" i="12"/>
  <c r="AJ138" i="12" s="1"/>
  <c r="AK138" i="12" s="1"/>
  <c r="AH178" i="12"/>
  <c r="AJ178" i="12" s="1"/>
  <c r="AK178" i="12" s="1"/>
  <c r="AN228" i="12"/>
  <c r="AH148" i="12"/>
  <c r="AJ148" i="12" s="1"/>
  <c r="AK148" i="12" s="1"/>
  <c r="AN142" i="12"/>
  <c r="AH96" i="12"/>
  <c r="AJ96" i="12" s="1"/>
  <c r="AK96" i="12" s="1"/>
  <c r="AH82" i="12"/>
  <c r="AJ82" i="12" s="1"/>
  <c r="AK82" i="12" s="1"/>
  <c r="AC248" i="12"/>
  <c r="AJ248" i="12" s="1"/>
  <c r="AK248" i="12" s="1"/>
  <c r="AN288" i="12"/>
  <c r="AH159" i="12"/>
  <c r="AJ159" i="12" s="1"/>
  <c r="AK159" i="12" s="1"/>
  <c r="AH143" i="12"/>
  <c r="AJ143" i="12" s="1"/>
  <c r="AK143" i="12" s="1"/>
  <c r="AH89" i="12"/>
  <c r="AJ89" i="12" s="1"/>
  <c r="AK89" i="12" s="1"/>
  <c r="AH67" i="12"/>
  <c r="AJ67" i="12" s="1"/>
  <c r="AK67" i="12" s="1"/>
  <c r="AH33" i="12"/>
  <c r="AJ33" i="12" s="1"/>
  <c r="AK33" i="12" s="1"/>
  <c r="AN290" i="12"/>
  <c r="AH94" i="12"/>
  <c r="AJ94" i="12" s="1"/>
  <c r="AK94" i="12" s="1"/>
  <c r="AH188" i="12"/>
  <c r="AJ188" i="12" s="1"/>
  <c r="AK188" i="12" s="1"/>
  <c r="AH63" i="12"/>
  <c r="AJ63" i="12" s="1"/>
  <c r="AK63" i="12" s="1"/>
  <c r="AN100" i="12"/>
  <c r="AH40" i="12"/>
  <c r="AJ40" i="12" s="1"/>
  <c r="AK40" i="12" s="1"/>
  <c r="AH112" i="12"/>
  <c r="AJ112" i="12" s="1"/>
  <c r="AK112" i="12" s="1"/>
  <c r="AH80" i="12"/>
  <c r="AJ80" i="12" s="1"/>
  <c r="AK80" i="12" s="1"/>
  <c r="AN166" i="12"/>
  <c r="AH214" i="12"/>
  <c r="AJ214" i="12" s="1"/>
  <c r="AK214" i="12" s="1"/>
  <c r="AH45" i="12"/>
  <c r="AJ45" i="12" s="1"/>
  <c r="AK45" i="12" s="1"/>
  <c r="AH165" i="12"/>
  <c r="AJ165" i="12" s="1"/>
  <c r="AK165" i="12" s="1"/>
  <c r="AH132" i="12"/>
  <c r="AJ132" i="12" s="1"/>
  <c r="AK132" i="12" s="1"/>
  <c r="AH122" i="12"/>
  <c r="AJ122" i="12" s="1"/>
  <c r="AK122" i="12" s="1"/>
  <c r="AN250" i="12"/>
  <c r="AN188" i="12"/>
  <c r="AN214" i="12"/>
  <c r="AN276" i="12"/>
  <c r="AH161" i="12"/>
  <c r="AJ161" i="12" s="1"/>
  <c r="AK161" i="12" s="1"/>
  <c r="AH64" i="12"/>
  <c r="AJ64" i="12" s="1"/>
  <c r="AK64" i="12" s="1"/>
  <c r="AH191" i="12"/>
  <c r="AJ191" i="12" s="1"/>
  <c r="AK191" i="12" s="1"/>
  <c r="AN144" i="12"/>
  <c r="AC130" i="12"/>
  <c r="AH130" i="12"/>
  <c r="AC221" i="12"/>
  <c r="AH221" i="12"/>
  <c r="AN240" i="12"/>
  <c r="AH290" i="12"/>
  <c r="AJ290" i="12" s="1"/>
  <c r="AK290" i="12" s="1"/>
  <c r="AH185" i="12"/>
  <c r="AJ185" i="12" s="1"/>
  <c r="AK185" i="12" s="1"/>
  <c r="AH239" i="12"/>
  <c r="AJ239" i="12" s="1"/>
  <c r="AK239" i="12" s="1"/>
  <c r="AH194" i="12"/>
  <c r="AJ194" i="12" s="1"/>
  <c r="AK194" i="12" s="1"/>
  <c r="AN248" i="12"/>
  <c r="AN56" i="12"/>
  <c r="AN232" i="12"/>
  <c r="AN74" i="12"/>
  <c r="AH227" i="12"/>
  <c r="AJ227" i="12" s="1"/>
  <c r="AK227" i="12" s="1"/>
  <c r="AH203" i="12"/>
  <c r="AJ203" i="12" s="1"/>
  <c r="AK203" i="12" s="1"/>
  <c r="AN222" i="12"/>
  <c r="AH183" i="12"/>
  <c r="AJ183" i="12" s="1"/>
  <c r="AK183" i="12" s="1"/>
  <c r="AH253" i="12"/>
  <c r="AJ253" i="12" s="1"/>
  <c r="AK253" i="12" s="1"/>
  <c r="AH205" i="12"/>
  <c r="AJ205" i="12" s="1"/>
  <c r="AK205" i="12" s="1"/>
  <c r="AH65" i="12"/>
  <c r="AJ65" i="12" s="1"/>
  <c r="AK65" i="12" s="1"/>
  <c r="AN76" i="12"/>
  <c r="AH247" i="12"/>
  <c r="AJ247" i="12" s="1"/>
  <c r="AK247" i="12" s="1"/>
  <c r="AN150" i="12"/>
  <c r="AH187" i="12"/>
  <c r="AJ187" i="12" s="1"/>
  <c r="AK187" i="12" s="1"/>
  <c r="AH27" i="12"/>
  <c r="AJ27" i="12" s="1"/>
  <c r="AK27" i="12" s="1"/>
  <c r="AN130" i="12"/>
  <c r="AN266" i="12"/>
  <c r="AH171" i="12"/>
  <c r="AJ171" i="12" s="1"/>
  <c r="AK171" i="12" s="1"/>
  <c r="AN270" i="12"/>
  <c r="AH272" i="12"/>
  <c r="AJ272" i="12" s="1"/>
  <c r="AK272" i="12" s="1"/>
  <c r="AN260" i="12"/>
  <c r="AN216" i="12"/>
  <c r="E25" i="2"/>
  <c r="AH289" i="12"/>
  <c r="AJ289" i="12" s="1"/>
  <c r="AK289" i="12" s="1"/>
  <c r="AN158" i="12"/>
  <c r="AN80" i="12"/>
  <c r="AN230" i="12"/>
  <c r="AH107" i="12"/>
  <c r="AJ107" i="12" s="1"/>
  <c r="AK107" i="12" s="1"/>
  <c r="AN132" i="12"/>
  <c r="AH213" i="12"/>
  <c r="AJ213" i="12" s="1"/>
  <c r="AK213" i="12" s="1"/>
  <c r="AH157" i="12"/>
  <c r="AJ157" i="12" s="1"/>
  <c r="AK157" i="12" s="1"/>
  <c r="AN70" i="12"/>
  <c r="AH302" i="12"/>
  <c r="AJ302" i="12" s="1"/>
  <c r="AK302" i="12" s="1"/>
  <c r="AN212" i="12"/>
  <c r="AN146" i="12"/>
  <c r="AH273" i="12"/>
  <c r="AC273" i="12"/>
  <c r="AG241" i="12"/>
  <c r="AN242" i="12" s="1"/>
  <c r="AC277" i="12"/>
  <c r="AH277" i="12"/>
  <c r="AG195" i="12"/>
  <c r="AN196" i="12" s="1"/>
  <c r="AH254" i="12"/>
  <c r="AC254" i="12"/>
  <c r="AC43" i="12"/>
  <c r="AH43" i="12"/>
  <c r="AC88" i="12"/>
  <c r="AH88" i="12"/>
  <c r="AC241" i="12"/>
  <c r="AH241" i="12"/>
  <c r="AG85" i="12"/>
  <c r="AN86" i="12" s="1"/>
  <c r="AC124" i="12"/>
  <c r="AH124" i="12"/>
  <c r="AC162" i="12"/>
  <c r="AH162" i="12"/>
  <c r="AG295" i="12"/>
  <c r="AN296" i="12" s="1"/>
  <c r="AG177" i="12"/>
  <c r="AN178" i="12" s="1"/>
  <c r="AH95" i="12"/>
  <c r="AC95" i="12"/>
  <c r="AH39" i="12"/>
  <c r="AC39" i="12"/>
  <c r="AC78" i="12"/>
  <c r="AH78" i="12"/>
  <c r="AH268" i="12"/>
  <c r="AC268" i="12"/>
  <c r="AG301" i="12"/>
  <c r="AN302" i="12" s="1"/>
  <c r="AC24" i="12"/>
  <c r="AH24" i="12"/>
  <c r="AC182" i="12"/>
  <c r="AH182" i="12"/>
  <c r="AC195" i="12"/>
  <c r="AH195" i="12"/>
  <c r="AC99" i="12"/>
  <c r="AH99" i="12"/>
  <c r="AC265" i="12"/>
  <c r="AH265" i="12"/>
  <c r="AC176" i="12"/>
  <c r="AH176" i="12"/>
  <c r="AH218" i="12"/>
  <c r="AC218" i="12"/>
  <c r="AC101" i="12"/>
  <c r="AH101" i="12"/>
  <c r="AC121" i="12"/>
  <c r="AH121" i="12"/>
  <c r="AC111" i="12"/>
  <c r="AH111" i="12"/>
  <c r="AC291" i="12"/>
  <c r="AH291" i="12"/>
  <c r="AC70" i="12"/>
  <c r="AH70" i="12"/>
  <c r="AG29" i="12"/>
  <c r="AC282" i="12"/>
  <c r="AH282" i="12"/>
  <c r="AH169" i="12"/>
  <c r="AC169" i="12"/>
  <c r="AC306" i="12"/>
  <c r="AH306" i="12"/>
  <c r="AC283" i="12"/>
  <c r="AH283" i="12"/>
  <c r="AC294" i="12"/>
  <c r="AH294" i="12"/>
  <c r="AC110" i="12"/>
  <c r="AH110" i="12"/>
  <c r="AC68" i="12"/>
  <c r="AH68" i="12"/>
  <c r="AH90" i="12"/>
  <c r="AC90" i="12"/>
  <c r="AC177" i="12"/>
  <c r="AH177" i="12"/>
  <c r="AG95" i="12"/>
  <c r="AG39" i="12"/>
  <c r="AC201" i="12"/>
  <c r="AH201" i="12"/>
  <c r="AC301" i="12"/>
  <c r="AH301" i="12"/>
  <c r="AC296" i="12"/>
  <c r="AH296" i="12"/>
  <c r="AG51" i="12"/>
  <c r="AN52" i="12" s="1"/>
  <c r="AG267" i="12"/>
  <c r="AN268" i="12" s="1"/>
  <c r="AC92" i="12"/>
  <c r="AH92" i="12"/>
  <c r="AH149" i="12"/>
  <c r="AJ149" i="12" s="1"/>
  <c r="AK149" i="12" s="1"/>
  <c r="AH225" i="12"/>
  <c r="AJ225" i="12" s="1"/>
  <c r="AK225" i="12" s="1"/>
  <c r="AN210" i="12"/>
  <c r="AN168" i="12"/>
  <c r="AH120" i="12"/>
  <c r="AJ120" i="12" s="1"/>
  <c r="AK120" i="12" s="1"/>
  <c r="AN206" i="12"/>
  <c r="AN172" i="12"/>
  <c r="AN26" i="12"/>
  <c r="AH286" i="12"/>
  <c r="AJ286" i="12" s="1"/>
  <c r="AK286" i="12" s="1"/>
  <c r="AN258" i="12"/>
  <c r="AH226" i="12"/>
  <c r="AJ226" i="12" s="1"/>
  <c r="AK226" i="12" s="1"/>
  <c r="AN36" i="12"/>
  <c r="AN148" i="12"/>
  <c r="AH220" i="12"/>
  <c r="AJ220" i="12" s="1"/>
  <c r="AK220" i="12" s="1"/>
  <c r="AN292" i="12"/>
  <c r="AN298" i="12"/>
  <c r="AH129" i="12"/>
  <c r="AJ129" i="12" s="1"/>
  <c r="AK129" i="12" s="1"/>
  <c r="AH285" i="12"/>
  <c r="AJ285" i="12" s="1"/>
  <c r="AK285" i="12" s="1"/>
  <c r="AN184" i="12"/>
  <c r="AN282" i="12"/>
  <c r="AG88" i="12"/>
  <c r="AC150" i="12"/>
  <c r="AH150" i="12"/>
  <c r="AC246" i="12"/>
  <c r="AH246" i="12"/>
  <c r="AC230" i="12"/>
  <c r="AH230" i="12"/>
  <c r="AC72" i="12"/>
  <c r="AH72" i="12"/>
  <c r="AH160" i="12"/>
  <c r="AC160" i="12"/>
  <c r="AC140" i="12"/>
  <c r="AH140" i="12"/>
  <c r="AH155" i="12"/>
  <c r="AC155" i="12"/>
  <c r="AC85" i="12"/>
  <c r="AH85" i="12"/>
  <c r="E102" i="1"/>
  <c r="E104" i="1" s="1"/>
  <c r="E46" i="1" s="1"/>
  <c r="F86" i="1"/>
  <c r="F102" i="1" s="1"/>
  <c r="F104" i="1" s="1"/>
  <c r="F46" i="1" s="1"/>
  <c r="AC236" i="12"/>
  <c r="AH236" i="12"/>
  <c r="AH174" i="12"/>
  <c r="AC174" i="12"/>
  <c r="M20" i="15"/>
  <c r="AC52" i="12"/>
  <c r="AH52" i="12"/>
  <c r="AC184" i="12"/>
  <c r="AH184" i="12"/>
  <c r="AC251" i="12"/>
  <c r="AH251" i="12"/>
  <c r="AH56" i="12"/>
  <c r="AC56" i="12"/>
  <c r="AC66" i="12"/>
  <c r="AH66" i="12"/>
  <c r="AC231" i="12"/>
  <c r="AH231" i="12"/>
  <c r="AC50" i="12"/>
  <c r="AH50" i="12"/>
  <c r="AC133" i="12"/>
  <c r="AH133" i="12"/>
  <c r="AC267" i="12"/>
  <c r="AH267" i="12"/>
  <c r="AC47" i="12"/>
  <c r="AH47" i="12"/>
  <c r="AG77" i="12"/>
  <c r="AN78" i="12" s="1"/>
  <c r="AG61" i="12"/>
  <c r="AN62" i="12" s="1"/>
  <c r="AC217" i="12"/>
  <c r="AH217" i="12"/>
  <c r="AC93" i="12"/>
  <c r="AH93" i="12"/>
  <c r="AC55" i="12"/>
  <c r="AH55" i="12"/>
  <c r="AG151" i="12"/>
  <c r="AN152" i="12" s="1"/>
  <c r="AG263" i="12"/>
  <c r="AN264" i="12" s="1"/>
  <c r="AC49" i="12"/>
  <c r="AH49" i="12"/>
  <c r="AC168" i="12"/>
  <c r="AH168" i="12"/>
  <c r="AC274" i="12"/>
  <c r="AH274" i="12"/>
  <c r="AC126" i="12"/>
  <c r="AH126" i="12"/>
  <c r="AG235" i="12"/>
  <c r="AN236" i="12" s="1"/>
  <c r="AC131" i="12"/>
  <c r="AH131" i="12"/>
  <c r="AC224" i="12"/>
  <c r="AH224" i="12"/>
  <c r="AG47" i="12"/>
  <c r="AN48" i="12" s="1"/>
  <c r="AG58" i="12"/>
  <c r="AN58" i="12" s="1"/>
  <c r="AH156" i="12"/>
  <c r="AC156" i="12"/>
  <c r="AC279" i="12"/>
  <c r="AH279" i="12"/>
  <c r="AC77" i="12"/>
  <c r="AH77" i="12"/>
  <c r="AC189" i="12"/>
  <c r="AH189" i="12"/>
  <c r="AC61" i="12"/>
  <c r="AH61" i="12"/>
  <c r="AH115" i="12"/>
  <c r="AC115" i="12"/>
  <c r="AC46" i="12"/>
  <c r="AH46" i="12"/>
  <c r="F33" i="2"/>
  <c r="D33" i="2"/>
  <c r="AC266" i="12"/>
  <c r="AH266" i="12"/>
  <c r="AC192" i="12"/>
  <c r="AH192" i="12"/>
  <c r="AG303" i="12"/>
  <c r="AG42" i="12"/>
  <c r="AN42" i="12" s="1"/>
  <c r="AG21" i="12"/>
  <c r="AN22" i="12" s="1"/>
  <c r="AG93" i="12"/>
  <c r="AN94" i="12" s="1"/>
  <c r="AG223" i="12"/>
  <c r="AN224" i="12" s="1"/>
  <c r="AC28" i="12"/>
  <c r="AH28" i="12"/>
  <c r="AG179" i="12"/>
  <c r="AN180" i="12" s="1"/>
  <c r="AG255" i="12"/>
  <c r="AC23" i="12"/>
  <c r="AH23" i="12"/>
  <c r="AC151" i="12"/>
  <c r="AH151" i="12"/>
  <c r="AC200" i="12"/>
  <c r="AH200" i="12"/>
  <c r="AC263" i="12"/>
  <c r="AH263" i="12"/>
  <c r="AG49" i="12"/>
  <c r="AN50" i="12" s="1"/>
  <c r="AC219" i="12"/>
  <c r="AH219" i="12"/>
  <c r="AC262" i="12"/>
  <c r="AH262" i="12"/>
  <c r="AC186" i="12"/>
  <c r="AH186" i="12"/>
  <c r="AC127" i="12"/>
  <c r="AH127" i="12"/>
  <c r="AC259" i="12"/>
  <c r="AH259" i="12"/>
  <c r="AG175" i="12"/>
  <c r="AN176" i="12" s="1"/>
  <c r="AG53" i="12"/>
  <c r="AN54" i="12" s="1"/>
  <c r="AC242" i="12"/>
  <c r="AH242" i="12"/>
  <c r="AC235" i="12"/>
  <c r="AH235" i="12"/>
  <c r="AC240" i="12"/>
  <c r="AH240" i="12"/>
  <c r="AC305" i="12"/>
  <c r="AH305" i="12"/>
  <c r="AN104" i="12"/>
  <c r="AH79" i="12"/>
  <c r="AJ79" i="12" s="1"/>
  <c r="AK79" i="12" s="1"/>
  <c r="E43" i="18"/>
  <c r="E45" i="18" s="1"/>
  <c r="AN204" i="12"/>
  <c r="AH297" i="12"/>
  <c r="AJ297" i="12" s="1"/>
  <c r="AK297" i="12" s="1"/>
  <c r="AH181" i="12"/>
  <c r="AJ181" i="12" s="1"/>
  <c r="AK181" i="12" s="1"/>
  <c r="AN286" i="12"/>
  <c r="AH167" i="12"/>
  <c r="AJ167" i="12" s="1"/>
  <c r="AK167" i="12" s="1"/>
  <c r="AN136" i="12"/>
  <c r="AN202" i="12"/>
  <c r="AH269" i="12"/>
  <c r="AJ269" i="12" s="1"/>
  <c r="AK269" i="12" s="1"/>
  <c r="AH249" i="12"/>
  <c r="AJ249" i="12" s="1"/>
  <c r="AK249" i="12" s="1"/>
  <c r="AH298" i="12"/>
  <c r="AJ298" i="12" s="1"/>
  <c r="AK298" i="12" s="1"/>
  <c r="AN84" i="12"/>
  <c r="AH232" i="12"/>
  <c r="AJ232" i="12" s="1"/>
  <c r="AK232" i="12" s="1"/>
  <c r="AH37" i="12"/>
  <c r="AJ37" i="12" s="1"/>
  <c r="AK37" i="12" s="1"/>
  <c r="AN124" i="12"/>
  <c r="AH135" i="12"/>
  <c r="AJ135" i="12" s="1"/>
  <c r="AK135" i="12" s="1"/>
  <c r="AN122" i="12"/>
  <c r="AN66" i="12"/>
  <c r="AN72" i="12"/>
  <c r="AH308" i="12"/>
  <c r="AJ308" i="12" s="1"/>
  <c r="AK308" i="12" s="1"/>
  <c r="AH222" i="12"/>
  <c r="AJ222" i="12" s="1"/>
  <c r="AK222" i="12" s="1"/>
  <c r="AH137" i="12"/>
  <c r="AJ137" i="12" s="1"/>
  <c r="AK137" i="12" s="1"/>
  <c r="AH211" i="12"/>
  <c r="AJ211" i="12" s="1"/>
  <c r="AK211" i="12" s="1"/>
  <c r="AN64" i="12"/>
  <c r="AN182" i="12"/>
  <c r="AN98" i="12"/>
  <c r="AN200" i="12"/>
  <c r="AG197" i="12"/>
  <c r="AN198" i="12" s="1"/>
  <c r="AC31" i="12"/>
  <c r="AH31" i="12"/>
  <c r="M93" i="19"/>
  <c r="M137" i="19" s="1"/>
  <c r="L137" i="19"/>
  <c r="L139" i="19"/>
  <c r="M139" i="19" s="1"/>
  <c r="AC295" i="12"/>
  <c r="AH295" i="12"/>
  <c r="AC292" i="12"/>
  <c r="AH292" i="12"/>
  <c r="AC84" i="12"/>
  <c r="AH84" i="12"/>
  <c r="AC244" i="12"/>
  <c r="AH244" i="12"/>
  <c r="AC197" i="12"/>
  <c r="AH197" i="12"/>
  <c r="AC74" i="12"/>
  <c r="AH74" i="12"/>
  <c r="AG111" i="12"/>
  <c r="AN112" i="12" s="1"/>
  <c r="AC26" i="12"/>
  <c r="AH26" i="12"/>
  <c r="AH212" i="12"/>
  <c r="AC212" i="12"/>
  <c r="AG189" i="12"/>
  <c r="AN190" i="12" s="1"/>
  <c r="D34" i="2"/>
  <c r="F34" i="2"/>
  <c r="AC303" i="12"/>
  <c r="AH303" i="12"/>
  <c r="AG251" i="12"/>
  <c r="AN252" i="12" s="1"/>
  <c r="AC278" i="12"/>
  <c r="AH278" i="12"/>
  <c r="AG305" i="12"/>
  <c r="AN306" i="12" s="1"/>
  <c r="AC270" i="12"/>
  <c r="AH270" i="12"/>
  <c r="AC98" i="12"/>
  <c r="AH98" i="12"/>
  <c r="AC69" i="12"/>
  <c r="AH69" i="12"/>
  <c r="AC293" i="12"/>
  <c r="AH293" i="12"/>
  <c r="AC42" i="12"/>
  <c r="AH42" i="12"/>
  <c r="AC21" i="12"/>
  <c r="AH21" i="12"/>
  <c r="AC256" i="12"/>
  <c r="AH256" i="12"/>
  <c r="AC280" i="12"/>
  <c r="AH280" i="12"/>
  <c r="AC179" i="12"/>
  <c r="AH179" i="12"/>
  <c r="AC255" i="12"/>
  <c r="AH255" i="12"/>
  <c r="AG109" i="12"/>
  <c r="AN110" i="12" s="1"/>
  <c r="AG193" i="12"/>
  <c r="AN194" i="12" s="1"/>
  <c r="AG163" i="12"/>
  <c r="AN164" i="12" s="1"/>
  <c r="AC108" i="12"/>
  <c r="AH108" i="12"/>
  <c r="AC299" i="12"/>
  <c r="AH299" i="12"/>
  <c r="AC180" i="12"/>
  <c r="AH180" i="12"/>
  <c r="AG34" i="12"/>
  <c r="AN34" i="12" s="1"/>
  <c r="AH144" i="12"/>
  <c r="AC144" i="12"/>
  <c r="AG219" i="12"/>
  <c r="AN220" i="12" s="1"/>
  <c r="AC158" i="12"/>
  <c r="AH158" i="12"/>
  <c r="AC54" i="12"/>
  <c r="AH54" i="12"/>
  <c r="AG127" i="12"/>
  <c r="AH175" i="12"/>
  <c r="AC175" i="12"/>
  <c r="AH53" i="12"/>
  <c r="AC53" i="12"/>
  <c r="AC250" i="12"/>
  <c r="AH250" i="12"/>
  <c r="AN44" i="12"/>
  <c r="AN272" i="12"/>
  <c r="AH154" i="12"/>
  <c r="AJ154" i="12" s="1"/>
  <c r="AK154" i="12" s="1"/>
  <c r="AN280" i="12"/>
  <c r="AH288" i="12"/>
  <c r="AJ288" i="12" s="1"/>
  <c r="AK288" i="12" s="1"/>
  <c r="AN126" i="12"/>
  <c r="AH152" i="12"/>
  <c r="AJ152" i="12" s="1"/>
  <c r="AK152" i="12" s="1"/>
  <c r="AN246" i="12"/>
  <c r="AH173" i="12"/>
  <c r="AJ173" i="12" s="1"/>
  <c r="AK173" i="12" s="1"/>
  <c r="AH153" i="12"/>
  <c r="AJ153" i="12" s="1"/>
  <c r="AK153" i="12" s="1"/>
  <c r="AN138" i="12"/>
  <c r="AN28" i="12"/>
  <c r="AH215" i="12"/>
  <c r="AJ215" i="12" s="1"/>
  <c r="AK215" i="12" s="1"/>
  <c r="AN162" i="12"/>
  <c r="AH83" i="12"/>
  <c r="AJ83" i="12" s="1"/>
  <c r="AK83" i="12" s="1"/>
  <c r="AH105" i="12"/>
  <c r="AJ105" i="12" s="1"/>
  <c r="AK105" i="12" s="1"/>
  <c r="AH97" i="12"/>
  <c r="AJ97" i="12" s="1"/>
  <c r="AK97" i="12" s="1"/>
  <c r="AC86" i="12"/>
  <c r="AH86" i="12"/>
  <c r="AC76" i="12"/>
  <c r="AH76" i="12"/>
  <c r="AC32" i="12"/>
  <c r="AH32" i="12"/>
  <c r="AC281" i="12"/>
  <c r="AH281" i="12"/>
  <c r="AC91" i="12"/>
  <c r="AH91" i="12"/>
  <c r="AC260" i="12"/>
  <c r="AH260" i="12"/>
  <c r="AG237" i="12"/>
  <c r="AN238" i="12" s="1"/>
  <c r="AC209" i="12"/>
  <c r="AH209" i="12"/>
  <c r="AG273" i="12"/>
  <c r="AN274" i="12" s="1"/>
  <c r="AH196" i="12"/>
  <c r="AC196" i="12"/>
  <c r="AG101" i="12"/>
  <c r="AN102" i="12" s="1"/>
  <c r="AC164" i="12"/>
  <c r="AH164" i="12"/>
  <c r="AC233" i="12"/>
  <c r="AH233" i="12"/>
  <c r="AG217" i="12"/>
  <c r="AN218" i="12" s="1"/>
  <c r="AC29" i="12"/>
  <c r="AH29" i="12"/>
  <c r="AH261" i="12"/>
  <c r="AC261" i="12"/>
  <c r="AG283" i="12"/>
  <c r="AN284" i="12" s="1"/>
  <c r="AG68" i="12"/>
  <c r="AN68" i="12" s="1"/>
  <c r="AC119" i="12"/>
  <c r="AH119" i="12"/>
  <c r="AC206" i="12"/>
  <c r="AH206" i="12"/>
  <c r="AG208" i="12"/>
  <c r="AC51" i="12"/>
  <c r="AH51" i="12"/>
  <c r="AC276" i="12"/>
  <c r="AH276" i="12"/>
  <c r="AC58" i="12"/>
  <c r="AH58" i="12"/>
  <c r="AG115" i="12"/>
  <c r="AN116" i="12" s="1"/>
  <c r="AG233" i="12"/>
  <c r="AN234" i="12" s="1"/>
  <c r="AC134" i="12"/>
  <c r="AH134" i="12"/>
  <c r="AG192" i="12"/>
  <c r="AN192" i="12" s="1"/>
  <c r="AC204" i="12"/>
  <c r="AH204" i="12"/>
  <c r="AC223" i="12"/>
  <c r="AH223" i="12"/>
  <c r="AG261" i="12"/>
  <c r="AN262" i="12" s="1"/>
  <c r="AG23" i="12"/>
  <c r="AN24" i="12" s="1"/>
  <c r="AC38" i="12"/>
  <c r="AH38" i="12"/>
  <c r="AG119" i="12"/>
  <c r="AN120" i="12" s="1"/>
  <c r="AC202" i="12"/>
  <c r="AH202" i="12"/>
  <c r="AC210" i="12"/>
  <c r="AH210" i="12"/>
  <c r="AG133" i="12"/>
  <c r="AN134" i="12" s="1"/>
  <c r="AC208" i="12"/>
  <c r="AH208" i="12"/>
  <c r="AC103" i="12"/>
  <c r="AH103" i="12"/>
  <c r="AC284" i="12"/>
  <c r="AH284" i="12"/>
  <c r="AG113" i="12"/>
  <c r="AN114" i="12" s="1"/>
  <c r="AC118" i="12"/>
  <c r="AH118" i="12"/>
  <c r="AC275" i="12"/>
  <c r="AH275" i="12"/>
  <c r="AC59" i="12"/>
  <c r="AH59" i="12"/>
  <c r="AG139" i="12"/>
  <c r="AC44" i="12"/>
  <c r="AH44" i="12"/>
  <c r="AC216" i="12"/>
  <c r="AH216" i="12"/>
  <c r="AC100" i="12"/>
  <c r="AH100" i="12"/>
  <c r="AC30" i="12"/>
  <c r="AH30" i="12"/>
  <c r="F22" i="1"/>
  <c r="F41" i="1" s="1"/>
  <c r="F44" i="1" s="1"/>
  <c r="E41" i="1"/>
  <c r="E44" i="1" s="1"/>
  <c r="AC113" i="12"/>
  <c r="AH113" i="12"/>
  <c r="AH252" i="12"/>
  <c r="AC252" i="12"/>
  <c r="M100" i="15"/>
  <c r="M144" i="15" s="1"/>
  <c r="L146" i="15"/>
  <c r="M146" i="15" s="1"/>
  <c r="L144" i="15"/>
  <c r="AG59" i="12"/>
  <c r="AN60" i="12" s="1"/>
  <c r="AC139" i="12"/>
  <c r="AH139" i="12"/>
  <c r="AH102" i="12"/>
  <c r="AC102" i="12"/>
  <c r="AG293" i="12"/>
  <c r="AN294" i="12" s="1"/>
  <c r="AG31" i="12"/>
  <c r="AN32" i="12" s="1"/>
  <c r="L59" i="19"/>
  <c r="M22" i="19"/>
  <c r="M57" i="19" s="1"/>
  <c r="L57" i="19"/>
  <c r="AC48" i="12"/>
  <c r="AH48" i="12"/>
  <c r="AG277" i="12"/>
  <c r="AN278" i="12" s="1"/>
  <c r="AG155" i="12"/>
  <c r="AN156" i="12" s="1"/>
  <c r="AC109" i="12"/>
  <c r="AH109" i="12"/>
  <c r="AC258" i="12"/>
  <c r="AH258" i="12"/>
  <c r="AC193" i="12"/>
  <c r="AH193" i="12"/>
  <c r="AC163" i="12"/>
  <c r="AH163" i="12"/>
  <c r="AC145" i="12"/>
  <c r="AH145" i="12"/>
  <c r="AG108" i="12"/>
  <c r="AN108" i="12" s="1"/>
  <c r="AG299" i="12"/>
  <c r="AN300" i="12" s="1"/>
  <c r="AC34" i="12"/>
  <c r="AH34" i="12"/>
  <c r="AG91" i="12"/>
  <c r="AN92" i="12" s="1"/>
  <c r="AC116" i="12"/>
  <c r="AH116" i="12"/>
  <c r="AC136" i="12"/>
  <c r="AH136" i="12"/>
  <c r="AC237" i="12"/>
  <c r="AH237" i="12"/>
  <c r="AC300" i="12"/>
  <c r="AH300" i="12"/>
  <c r="AC104" i="12"/>
  <c r="AH104" i="12"/>
  <c r="AC22" i="12"/>
  <c r="AH22" i="12"/>
  <c r="AC264" i="12"/>
  <c r="AH264" i="12"/>
  <c r="AN226" i="12"/>
  <c r="AN186" i="12"/>
  <c r="AH81" i="12"/>
  <c r="AJ81" i="12" s="1"/>
  <c r="AK81" i="12" s="1"/>
  <c r="AH257" i="12"/>
  <c r="AJ257" i="12" s="1"/>
  <c r="AK257" i="12" s="1"/>
  <c r="AH147" i="12"/>
  <c r="AJ147" i="12" s="1"/>
  <c r="AK147" i="12" s="1"/>
  <c r="AN308" i="12"/>
  <c r="AN160" i="12"/>
  <c r="AH170" i="12"/>
  <c r="AJ170" i="12" s="1"/>
  <c r="AK170" i="12" s="1"/>
  <c r="AN170" i="12"/>
  <c r="AN38" i="12"/>
  <c r="AH304" i="12"/>
  <c r="AJ304" i="12" s="1"/>
  <c r="AK304" i="12" s="1"/>
  <c r="AN174" i="12"/>
  <c r="AH35" i="12"/>
  <c r="AJ35" i="12" s="1"/>
  <c r="AK35" i="12" s="1"/>
  <c r="AM36" i="12" s="1"/>
  <c r="AN254" i="12"/>
  <c r="AH117" i="12"/>
  <c r="AJ117" i="12" s="1"/>
  <c r="AK117" i="12" s="1"/>
  <c r="AN244" i="12"/>
  <c r="AN118" i="12"/>
  <c r="AH125" i="12"/>
  <c r="AJ125" i="12" s="1"/>
  <c r="AK125" i="12" s="1"/>
  <c r="AN90" i="12"/>
  <c r="AN154" i="12"/>
  <c r="AH71" i="12"/>
  <c r="AJ71" i="12" s="1"/>
  <c r="AK71" i="12" s="1"/>
  <c r="AH141" i="12"/>
  <c r="AJ141" i="12" s="1"/>
  <c r="AK141" i="12" s="1"/>
  <c r="AN46" i="12"/>
  <c r="AH229" i="12"/>
  <c r="AJ229" i="12" s="1"/>
  <c r="AK229" i="12" s="1"/>
  <c r="AH73" i="12"/>
  <c r="AJ73" i="12" s="1"/>
  <c r="AK73" i="12" s="1"/>
  <c r="AN106" i="12"/>
  <c r="AH199" i="12"/>
  <c r="AJ199" i="12" s="1"/>
  <c r="AK199" i="12" s="1"/>
  <c r="L67" i="15" l="1"/>
  <c r="L155" i="15" s="1"/>
  <c r="U155" i="15" s="1"/>
  <c r="L65" i="15"/>
  <c r="M65" i="15"/>
  <c r="AM142" i="12"/>
  <c r="AU142" i="12" s="1"/>
  <c r="S142" i="12" s="1"/>
  <c r="AM148" i="12"/>
  <c r="AT148" i="12" s="1"/>
  <c r="R148" i="12" s="1"/>
  <c r="AM172" i="12"/>
  <c r="AT172" i="12" s="1"/>
  <c r="R172" i="12" s="1"/>
  <c r="AM138" i="12"/>
  <c r="AT138" i="12" s="1"/>
  <c r="R138" i="12" s="1"/>
  <c r="AJ206" i="12"/>
  <c r="AK206" i="12" s="1"/>
  <c r="AM206" i="12" s="1"/>
  <c r="AO206" i="12" s="1"/>
  <c r="AJ76" i="12"/>
  <c r="AK76" i="12" s="1"/>
  <c r="AM76" i="12" s="1"/>
  <c r="AS76" i="12" s="1"/>
  <c r="Q76" i="12" s="1"/>
  <c r="AJ186" i="12"/>
  <c r="AK186" i="12" s="1"/>
  <c r="AM186" i="12" s="1"/>
  <c r="AJ221" i="12"/>
  <c r="AK221" i="12" s="1"/>
  <c r="AM222" i="12" s="1"/>
  <c r="AO222" i="12" s="1"/>
  <c r="AM106" i="12"/>
  <c r="AU106" i="12" s="1"/>
  <c r="S106" i="12" s="1"/>
  <c r="AM188" i="12"/>
  <c r="AO188" i="12" s="1"/>
  <c r="AM214" i="12"/>
  <c r="AT214" i="12" s="1"/>
  <c r="R214" i="12" s="1"/>
  <c r="AM228" i="12"/>
  <c r="AS228" i="12" s="1"/>
  <c r="Q228" i="12" s="1"/>
  <c r="AJ156" i="12"/>
  <c r="AK156" i="12" s="1"/>
  <c r="AJ174" i="12"/>
  <c r="AK174" i="12" s="1"/>
  <c r="AM174" i="12" s="1"/>
  <c r="AM64" i="12"/>
  <c r="AT64" i="12" s="1"/>
  <c r="R64" i="12" s="1"/>
  <c r="F48" i="1"/>
  <c r="AJ77" i="12"/>
  <c r="AK77" i="12" s="1"/>
  <c r="AJ264" i="12"/>
  <c r="AK264" i="12" s="1"/>
  <c r="AJ252" i="12"/>
  <c r="AK252" i="12" s="1"/>
  <c r="AJ276" i="12"/>
  <c r="AK276" i="12" s="1"/>
  <c r="AJ212" i="12"/>
  <c r="AK212" i="12" s="1"/>
  <c r="AM212" i="12" s="1"/>
  <c r="AJ224" i="12"/>
  <c r="AK224" i="12" s="1"/>
  <c r="AJ246" i="12"/>
  <c r="AK246" i="12" s="1"/>
  <c r="AM246" i="12" s="1"/>
  <c r="AO246" i="12" s="1"/>
  <c r="AJ88" i="12"/>
  <c r="AK88" i="12" s="1"/>
  <c r="AM88" i="12" s="1"/>
  <c r="AT88" i="12" s="1"/>
  <c r="R88" i="12" s="1"/>
  <c r="AJ218" i="12"/>
  <c r="AK218" i="12" s="1"/>
  <c r="AM166" i="12"/>
  <c r="AT166" i="12" s="1"/>
  <c r="R166" i="12" s="1"/>
  <c r="AJ176" i="12"/>
  <c r="AK176" i="12" s="1"/>
  <c r="AJ99" i="12"/>
  <c r="AK99" i="12" s="1"/>
  <c r="AJ43" i="12"/>
  <c r="AK43" i="12" s="1"/>
  <c r="AJ145" i="12"/>
  <c r="AK145" i="12" s="1"/>
  <c r="AM146" i="12" s="1"/>
  <c r="AT146" i="12" s="1"/>
  <c r="R146" i="12" s="1"/>
  <c r="AJ109" i="12"/>
  <c r="AK109" i="12" s="1"/>
  <c r="AJ100" i="12"/>
  <c r="AK100" i="12" s="1"/>
  <c r="AJ103" i="12"/>
  <c r="AK103" i="12" s="1"/>
  <c r="AJ204" i="12"/>
  <c r="AK204" i="12" s="1"/>
  <c r="AM204" i="12" s="1"/>
  <c r="AJ260" i="12"/>
  <c r="AK260" i="12" s="1"/>
  <c r="AJ201" i="12"/>
  <c r="AK201" i="12" s="1"/>
  <c r="AJ294" i="12"/>
  <c r="AK294" i="12" s="1"/>
  <c r="AJ306" i="12"/>
  <c r="AK306" i="12" s="1"/>
  <c r="AM272" i="12"/>
  <c r="AU272" i="12" s="1"/>
  <c r="S272" i="12" s="1"/>
  <c r="AJ144" i="12"/>
  <c r="AK144" i="12" s="1"/>
  <c r="AM144" i="12" s="1"/>
  <c r="AS144" i="12" s="1"/>
  <c r="Q144" i="12" s="1"/>
  <c r="AM308" i="12"/>
  <c r="AT308" i="12" s="1"/>
  <c r="R308" i="12" s="1"/>
  <c r="AJ200" i="12"/>
  <c r="AK200" i="12" s="1"/>
  <c r="AM200" i="12" s="1"/>
  <c r="AJ23" i="12"/>
  <c r="AK23" i="12" s="1"/>
  <c r="AJ158" i="12"/>
  <c r="AK158" i="12" s="1"/>
  <c r="AM158" i="12" s="1"/>
  <c r="AS158" i="12" s="1"/>
  <c r="Q158" i="12" s="1"/>
  <c r="AM80" i="12"/>
  <c r="AT80" i="12" s="1"/>
  <c r="R80" i="12" s="1"/>
  <c r="AJ274" i="12"/>
  <c r="AK274" i="12" s="1"/>
  <c r="AJ55" i="12"/>
  <c r="AK55" i="12" s="1"/>
  <c r="AJ217" i="12"/>
  <c r="AK217" i="12" s="1"/>
  <c r="AJ70" i="12"/>
  <c r="AK70" i="12" s="1"/>
  <c r="AJ235" i="12"/>
  <c r="AK235" i="12" s="1"/>
  <c r="AJ254" i="12"/>
  <c r="AK254" i="12" s="1"/>
  <c r="AM254" i="12" s="1"/>
  <c r="AJ277" i="12"/>
  <c r="AK277" i="12" s="1"/>
  <c r="AJ56" i="12"/>
  <c r="AK56" i="12" s="1"/>
  <c r="AJ162" i="12"/>
  <c r="AK162" i="12" s="1"/>
  <c r="AM162" i="12" s="1"/>
  <c r="AJ209" i="12"/>
  <c r="AK209" i="12" s="1"/>
  <c r="AJ256" i="12"/>
  <c r="AK256" i="12" s="1"/>
  <c r="AJ28" i="12"/>
  <c r="AK28" i="12" s="1"/>
  <c r="AM28" i="12" s="1"/>
  <c r="AJ133" i="12"/>
  <c r="AK133" i="12" s="1"/>
  <c r="AJ231" i="12"/>
  <c r="AK231" i="12" s="1"/>
  <c r="AM232" i="12" s="1"/>
  <c r="AJ184" i="12"/>
  <c r="AK184" i="12" s="1"/>
  <c r="AM184" i="12" s="1"/>
  <c r="AS184" i="12" s="1"/>
  <c r="Q184" i="12" s="1"/>
  <c r="AJ230" i="12"/>
  <c r="AK230" i="12" s="1"/>
  <c r="AM230" i="12" s="1"/>
  <c r="AO230" i="12" s="1"/>
  <c r="AJ39" i="12"/>
  <c r="AK39" i="12" s="1"/>
  <c r="AM40" i="12" s="1"/>
  <c r="AT40" i="12" s="1"/>
  <c r="R40" i="12" s="1"/>
  <c r="AJ291" i="12"/>
  <c r="AK291" i="12" s="1"/>
  <c r="AJ258" i="12"/>
  <c r="AK258" i="12" s="1"/>
  <c r="AM258" i="12" s="1"/>
  <c r="AJ113" i="12"/>
  <c r="AK113" i="12" s="1"/>
  <c r="AM114" i="12" s="1"/>
  <c r="AO114" i="12" s="1"/>
  <c r="AJ30" i="12"/>
  <c r="AK30" i="12" s="1"/>
  <c r="AJ216" i="12"/>
  <c r="AK216" i="12" s="1"/>
  <c r="AM216" i="12" s="1"/>
  <c r="AT216" i="12" s="1"/>
  <c r="R216" i="12" s="1"/>
  <c r="AJ284" i="12"/>
  <c r="AK284" i="12" s="1"/>
  <c r="AJ223" i="12"/>
  <c r="AK223" i="12" s="1"/>
  <c r="AJ58" i="12"/>
  <c r="AK58" i="12" s="1"/>
  <c r="AM58" i="12" s="1"/>
  <c r="AS58" i="12" s="1"/>
  <c r="Q58" i="12" s="1"/>
  <c r="AJ54" i="12"/>
  <c r="AK54" i="12" s="1"/>
  <c r="AJ180" i="12"/>
  <c r="AK180" i="12" s="1"/>
  <c r="AJ26" i="12"/>
  <c r="AK26" i="12" s="1"/>
  <c r="AM26" i="12" s="1"/>
  <c r="AT26" i="12" s="1"/>
  <c r="R26" i="12" s="1"/>
  <c r="AJ295" i="12"/>
  <c r="AK295" i="12" s="1"/>
  <c r="AJ240" i="12"/>
  <c r="AK240" i="12" s="1"/>
  <c r="AM240" i="12" s="1"/>
  <c r="AJ259" i="12"/>
  <c r="AK259" i="12" s="1"/>
  <c r="AJ219" i="12"/>
  <c r="AK219" i="12" s="1"/>
  <c r="AM220" i="12" s="1"/>
  <c r="AO220" i="12" s="1"/>
  <c r="AJ131" i="12"/>
  <c r="AK131" i="12" s="1"/>
  <c r="AM132" i="12" s="1"/>
  <c r="AT132" i="12" s="1"/>
  <c r="R132" i="12" s="1"/>
  <c r="AJ168" i="12"/>
  <c r="AK168" i="12" s="1"/>
  <c r="AM168" i="12" s="1"/>
  <c r="AJ301" i="12"/>
  <c r="AK301" i="12" s="1"/>
  <c r="AM302" i="12" s="1"/>
  <c r="AT302" i="12" s="1"/>
  <c r="R302" i="12" s="1"/>
  <c r="AJ90" i="12"/>
  <c r="AK90" i="12" s="1"/>
  <c r="AM90" i="12" s="1"/>
  <c r="AS90" i="12" s="1"/>
  <c r="Q90" i="12" s="1"/>
  <c r="AJ110" i="12"/>
  <c r="AK110" i="12" s="1"/>
  <c r="AJ265" i="12"/>
  <c r="AK265" i="12" s="1"/>
  <c r="AJ195" i="12"/>
  <c r="AK195" i="12" s="1"/>
  <c r="AJ24" i="12"/>
  <c r="AK24" i="12" s="1"/>
  <c r="AJ124" i="12"/>
  <c r="AK124" i="12" s="1"/>
  <c r="AM124" i="12" s="1"/>
  <c r="AM290" i="12"/>
  <c r="AT290" i="12" s="1"/>
  <c r="R290" i="12" s="1"/>
  <c r="AJ130" i="12"/>
  <c r="AK130" i="12" s="1"/>
  <c r="AM130" i="12" s="1"/>
  <c r="AJ49" i="12"/>
  <c r="AK49" i="12" s="1"/>
  <c r="AJ104" i="12"/>
  <c r="AK104" i="12" s="1"/>
  <c r="AJ116" i="12"/>
  <c r="AK116" i="12" s="1"/>
  <c r="AJ275" i="12"/>
  <c r="AK275" i="12" s="1"/>
  <c r="AJ179" i="12"/>
  <c r="AK179" i="12" s="1"/>
  <c r="AJ42" i="12"/>
  <c r="AK42" i="12" s="1"/>
  <c r="AM42" i="12" s="1"/>
  <c r="AO42" i="12" s="1"/>
  <c r="AJ74" i="12"/>
  <c r="AK74" i="12" s="1"/>
  <c r="AM74" i="12" s="1"/>
  <c r="AJ126" i="12"/>
  <c r="AK126" i="12" s="1"/>
  <c r="AM126" i="12" s="1"/>
  <c r="AJ29" i="12"/>
  <c r="AK29" i="12" s="1"/>
  <c r="AJ121" i="12"/>
  <c r="AK121" i="12" s="1"/>
  <c r="AM122" i="12" s="1"/>
  <c r="AO122" i="12" s="1"/>
  <c r="AJ22" i="12"/>
  <c r="AK22" i="12" s="1"/>
  <c r="AJ300" i="12"/>
  <c r="AK300" i="12" s="1"/>
  <c r="AJ136" i="12"/>
  <c r="AK136" i="12" s="1"/>
  <c r="AM136" i="12" s="1"/>
  <c r="AJ102" i="12"/>
  <c r="AK102" i="12" s="1"/>
  <c r="E48" i="1"/>
  <c r="AJ59" i="12"/>
  <c r="AK59" i="12" s="1"/>
  <c r="AM60" i="12" s="1"/>
  <c r="AS60" i="12" s="1"/>
  <c r="Q60" i="12" s="1"/>
  <c r="AJ202" i="12"/>
  <c r="AK202" i="12" s="1"/>
  <c r="AM288" i="12"/>
  <c r="AS288" i="12" s="1"/>
  <c r="Q288" i="12" s="1"/>
  <c r="AJ250" i="12"/>
  <c r="AK250" i="12" s="1"/>
  <c r="AM250" i="12" s="1"/>
  <c r="AJ21" i="12"/>
  <c r="AK21" i="12" s="1"/>
  <c r="AJ293" i="12"/>
  <c r="AK293" i="12" s="1"/>
  <c r="AJ98" i="12"/>
  <c r="AK98" i="12" s="1"/>
  <c r="AM98" i="12" s="1"/>
  <c r="AO98" i="12" s="1"/>
  <c r="AJ278" i="12"/>
  <c r="AK278" i="12" s="1"/>
  <c r="AJ84" i="12"/>
  <c r="AK84" i="12" s="1"/>
  <c r="AM84" i="12" s="1"/>
  <c r="AJ303" i="12"/>
  <c r="AK303" i="12" s="1"/>
  <c r="AM304" i="12" s="1"/>
  <c r="AJ266" i="12"/>
  <c r="AK266" i="12" s="1"/>
  <c r="AJ267" i="12"/>
  <c r="AK267" i="12" s="1"/>
  <c r="AJ50" i="12"/>
  <c r="AK50" i="12" s="1"/>
  <c r="AJ66" i="12"/>
  <c r="AK66" i="12" s="1"/>
  <c r="AM66" i="12" s="1"/>
  <c r="AO66" i="12" s="1"/>
  <c r="AJ251" i="12"/>
  <c r="AK251" i="12" s="1"/>
  <c r="AJ52" i="12"/>
  <c r="AK52" i="12" s="1"/>
  <c r="AJ236" i="12"/>
  <c r="AK236" i="12" s="1"/>
  <c r="AJ296" i="12"/>
  <c r="AK296" i="12" s="1"/>
  <c r="D32" i="2"/>
  <c r="D35" i="2" s="1"/>
  <c r="D38" i="2" s="1"/>
  <c r="D40" i="2" s="1"/>
  <c r="F32" i="2"/>
  <c r="F35" i="2" s="1"/>
  <c r="F38" i="2" s="1"/>
  <c r="F40" i="2" s="1"/>
  <c r="AJ208" i="12"/>
  <c r="AK208" i="12" s="1"/>
  <c r="AM208" i="12" s="1"/>
  <c r="AS208" i="12" s="1"/>
  <c r="Q208" i="12" s="1"/>
  <c r="AJ151" i="12"/>
  <c r="AK151" i="12" s="1"/>
  <c r="AM152" i="12" s="1"/>
  <c r="AJ140" i="12"/>
  <c r="AK140" i="12" s="1"/>
  <c r="AN40" i="12"/>
  <c r="AJ78" i="12"/>
  <c r="AK78" i="12" s="1"/>
  <c r="AJ164" i="12"/>
  <c r="AK164" i="12" s="1"/>
  <c r="AJ31" i="12"/>
  <c r="AK31" i="12" s="1"/>
  <c r="AJ150" i="12"/>
  <c r="AK150" i="12" s="1"/>
  <c r="AM150" i="12" s="1"/>
  <c r="AJ283" i="12"/>
  <c r="AK283" i="12" s="1"/>
  <c r="AJ32" i="12"/>
  <c r="AK32" i="12" s="1"/>
  <c r="AJ280" i="12"/>
  <c r="AK280" i="12" s="1"/>
  <c r="AJ268" i="12"/>
  <c r="AK268" i="12" s="1"/>
  <c r="AJ262" i="12"/>
  <c r="AK262" i="12" s="1"/>
  <c r="AJ61" i="12"/>
  <c r="AK61" i="12" s="1"/>
  <c r="AM62" i="12" s="1"/>
  <c r="AT62" i="12" s="1"/>
  <c r="R62" i="12" s="1"/>
  <c r="AJ93" i="12"/>
  <c r="AK93" i="12" s="1"/>
  <c r="AM94" i="12" s="1"/>
  <c r="AS94" i="12" s="1"/>
  <c r="Q94" i="12" s="1"/>
  <c r="AJ85" i="12"/>
  <c r="AK85" i="12" s="1"/>
  <c r="AM286" i="12"/>
  <c r="AU286" i="12" s="1"/>
  <c r="S286" i="12" s="1"/>
  <c r="AM248" i="12"/>
  <c r="AJ193" i="12"/>
  <c r="AK193" i="12" s="1"/>
  <c r="AM194" i="12" s="1"/>
  <c r="AO194" i="12" s="1"/>
  <c r="AJ48" i="12"/>
  <c r="AK48" i="12" s="1"/>
  <c r="AJ210" i="12"/>
  <c r="AK210" i="12" s="1"/>
  <c r="AJ134" i="12"/>
  <c r="AK134" i="12" s="1"/>
  <c r="AJ119" i="12"/>
  <c r="AK119" i="12" s="1"/>
  <c r="AM120" i="12" s="1"/>
  <c r="AS120" i="12" s="1"/>
  <c r="Q120" i="12" s="1"/>
  <c r="AJ281" i="12"/>
  <c r="AK281" i="12" s="1"/>
  <c r="AJ86" i="12"/>
  <c r="AK86" i="12" s="1"/>
  <c r="AJ127" i="12"/>
  <c r="AK127" i="12" s="1"/>
  <c r="AM128" i="12" s="1"/>
  <c r="AU128" i="12" s="1"/>
  <c r="S128" i="12" s="1"/>
  <c r="AJ108" i="12"/>
  <c r="AK108" i="12" s="1"/>
  <c r="AM108" i="12" s="1"/>
  <c r="AU108" i="12" s="1"/>
  <c r="S108" i="12" s="1"/>
  <c r="AJ244" i="12"/>
  <c r="AK244" i="12" s="1"/>
  <c r="AM244" i="12" s="1"/>
  <c r="AO244" i="12" s="1"/>
  <c r="L140" i="19"/>
  <c r="AJ255" i="12"/>
  <c r="AK255" i="12" s="1"/>
  <c r="AJ279" i="12"/>
  <c r="AK279" i="12" s="1"/>
  <c r="AJ47" i="12"/>
  <c r="AK47" i="12" s="1"/>
  <c r="AJ72" i="12"/>
  <c r="AK72" i="12" s="1"/>
  <c r="AM72" i="12" s="1"/>
  <c r="AJ92" i="12"/>
  <c r="AK92" i="12" s="1"/>
  <c r="AJ177" i="12"/>
  <c r="AK177" i="12" s="1"/>
  <c r="AM178" i="12" s="1"/>
  <c r="AU178" i="12" s="1"/>
  <c r="S178" i="12" s="1"/>
  <c r="AJ282" i="12"/>
  <c r="AK282" i="12" s="1"/>
  <c r="AJ261" i="12"/>
  <c r="AK261" i="12" s="1"/>
  <c r="AJ53" i="12"/>
  <c r="AK53" i="12" s="1"/>
  <c r="AJ46" i="12"/>
  <c r="AK46" i="12" s="1"/>
  <c r="AM46" i="12" s="1"/>
  <c r="AO46" i="12" s="1"/>
  <c r="AJ68" i="12"/>
  <c r="AK68" i="12" s="1"/>
  <c r="AM68" i="12" s="1"/>
  <c r="AO68" i="12" s="1"/>
  <c r="AN208" i="12"/>
  <c r="AJ292" i="12"/>
  <c r="AK292" i="12" s="1"/>
  <c r="AN304" i="12"/>
  <c r="AJ189" i="12"/>
  <c r="AK189" i="12" s="1"/>
  <c r="AM190" i="12" s="1"/>
  <c r="AS190" i="12" s="1"/>
  <c r="Q190" i="12" s="1"/>
  <c r="AJ182" i="12"/>
  <c r="AK182" i="12" s="1"/>
  <c r="AM182" i="12" s="1"/>
  <c r="AJ51" i="12"/>
  <c r="AK51" i="12" s="1"/>
  <c r="AJ233" i="12"/>
  <c r="AK233" i="12" s="1"/>
  <c r="AM234" i="12" s="1"/>
  <c r="AU234" i="12" s="1"/>
  <c r="S234" i="12" s="1"/>
  <c r="AJ270" i="12"/>
  <c r="AK270" i="12" s="1"/>
  <c r="AM270" i="12" s="1"/>
  <c r="AJ155" i="12"/>
  <c r="AK155" i="12" s="1"/>
  <c r="AJ34" i="12"/>
  <c r="AK34" i="12" s="1"/>
  <c r="AM34" i="12" s="1"/>
  <c r="AO34" i="12" s="1"/>
  <c r="AJ139" i="12"/>
  <c r="AK139" i="12" s="1"/>
  <c r="AJ91" i="12"/>
  <c r="AK91" i="12" s="1"/>
  <c r="AJ305" i="12"/>
  <c r="AK305" i="12" s="1"/>
  <c r="AJ263" i="12"/>
  <c r="AK263" i="12" s="1"/>
  <c r="AM82" i="12"/>
  <c r="AO82" i="12" s="1"/>
  <c r="AJ237" i="12"/>
  <c r="AK237" i="12" s="1"/>
  <c r="AM238" i="12" s="1"/>
  <c r="AT238" i="12" s="1"/>
  <c r="R238" i="12" s="1"/>
  <c r="AJ163" i="12"/>
  <c r="AK163" i="12" s="1"/>
  <c r="AJ44" i="12"/>
  <c r="AK44" i="12" s="1"/>
  <c r="AJ118" i="12"/>
  <c r="AK118" i="12" s="1"/>
  <c r="AM118" i="12" s="1"/>
  <c r="AJ38" i="12"/>
  <c r="AK38" i="12" s="1"/>
  <c r="AM38" i="12" s="1"/>
  <c r="AJ196" i="12"/>
  <c r="AK196" i="12" s="1"/>
  <c r="AJ175" i="12"/>
  <c r="AK175" i="12" s="1"/>
  <c r="AJ299" i="12"/>
  <c r="AK299" i="12" s="1"/>
  <c r="AJ69" i="12"/>
  <c r="AK69" i="12" s="1"/>
  <c r="AJ197" i="12"/>
  <c r="AK197" i="12" s="1"/>
  <c r="AM198" i="12" s="1"/>
  <c r="AO198" i="12" s="1"/>
  <c r="AJ242" i="12"/>
  <c r="AK242" i="12" s="1"/>
  <c r="AJ115" i="12"/>
  <c r="AK115" i="12" s="1"/>
  <c r="AJ160" i="12"/>
  <c r="AK160" i="12" s="1"/>
  <c r="AM160" i="12" s="1"/>
  <c r="AJ95" i="12"/>
  <c r="AK95" i="12" s="1"/>
  <c r="AM96" i="12" s="1"/>
  <c r="AS96" i="12" s="1"/>
  <c r="Q96" i="12" s="1"/>
  <c r="AJ169" i="12"/>
  <c r="AK169" i="12" s="1"/>
  <c r="AM170" i="12" s="1"/>
  <c r="AU170" i="12" s="1"/>
  <c r="S170" i="12" s="1"/>
  <c r="AJ101" i="12"/>
  <c r="AK101" i="12" s="1"/>
  <c r="AJ241" i="12"/>
  <c r="AK241" i="12" s="1"/>
  <c r="AJ273" i="12"/>
  <c r="AK273" i="12" s="1"/>
  <c r="AT36" i="12"/>
  <c r="R36" i="12" s="1"/>
  <c r="AO36" i="12"/>
  <c r="AU36" i="12"/>
  <c r="S36" i="12" s="1"/>
  <c r="AS36" i="12"/>
  <c r="Q36" i="12" s="1"/>
  <c r="AN88" i="12"/>
  <c r="AN96" i="12"/>
  <c r="AN140" i="12"/>
  <c r="AM226" i="12"/>
  <c r="L146" i="19"/>
  <c r="V146" i="19" s="1"/>
  <c r="L60" i="19"/>
  <c r="L153" i="15"/>
  <c r="U153" i="15" s="1"/>
  <c r="L147" i="15"/>
  <c r="AJ192" i="12"/>
  <c r="AK192" i="12" s="1"/>
  <c r="AM192" i="12" s="1"/>
  <c r="AN30" i="12"/>
  <c r="AJ111" i="12"/>
  <c r="AK111" i="12" s="1"/>
  <c r="AM112" i="12" s="1"/>
  <c r="AM298" i="12"/>
  <c r="AN128" i="12"/>
  <c r="AN256" i="12"/>
  <c r="AO142" i="12"/>
  <c r="M59" i="19"/>
  <c r="M60" i="19" s="1"/>
  <c r="L148" i="19"/>
  <c r="V148" i="19" s="1"/>
  <c r="M147" i="15"/>
  <c r="AM154" i="12"/>
  <c r="M140" i="19"/>
  <c r="M67" i="15" l="1"/>
  <c r="M68" i="15" s="1"/>
  <c r="L68" i="15"/>
  <c r="AS142" i="12"/>
  <c r="Q142" i="12" s="1"/>
  <c r="AS148" i="12"/>
  <c r="Q148" i="12" s="1"/>
  <c r="AO172" i="12"/>
  <c r="AU148" i="12"/>
  <c r="S148" i="12" s="1"/>
  <c r="AO148" i="12"/>
  <c r="AT142" i="12"/>
  <c r="R142" i="12" s="1"/>
  <c r="AU172" i="12"/>
  <c r="S172" i="12" s="1"/>
  <c r="AS138" i="12"/>
  <c r="Q138" i="12" s="1"/>
  <c r="AS172" i="12"/>
  <c r="Q172" i="12" s="1"/>
  <c r="AO138" i="12"/>
  <c r="AU138" i="12"/>
  <c r="S138" i="12" s="1"/>
  <c r="AM218" i="12"/>
  <c r="AS218" i="12" s="1"/>
  <c r="Q218" i="12" s="1"/>
  <c r="AM48" i="12"/>
  <c r="AS48" i="12" s="1"/>
  <c r="Q48" i="12" s="1"/>
  <c r="AS106" i="12"/>
  <c r="Q106" i="12" s="1"/>
  <c r="AT106" i="12"/>
  <c r="R106" i="12" s="1"/>
  <c r="AO106" i="12"/>
  <c r="AM236" i="12"/>
  <c r="AT236" i="12" s="1"/>
  <c r="R236" i="12" s="1"/>
  <c r="AM202" i="12"/>
  <c r="AT202" i="12" s="1"/>
  <c r="R202" i="12" s="1"/>
  <c r="AS188" i="12"/>
  <c r="Q188" i="12" s="1"/>
  <c r="AU188" i="12"/>
  <c r="S188" i="12" s="1"/>
  <c r="AT188" i="12"/>
  <c r="R188" i="12" s="1"/>
  <c r="AU158" i="12"/>
  <c r="S158" i="12" s="1"/>
  <c r="AO214" i="12"/>
  <c r="AM110" i="12"/>
  <c r="AU110" i="12" s="1"/>
  <c r="S110" i="12" s="1"/>
  <c r="AS214" i="12"/>
  <c r="Q214" i="12" s="1"/>
  <c r="AU228" i="12"/>
  <c r="S228" i="12" s="1"/>
  <c r="AT94" i="12"/>
  <c r="R94" i="12" s="1"/>
  <c r="AT76" i="12"/>
  <c r="R76" i="12" s="1"/>
  <c r="AU290" i="12"/>
  <c r="S290" i="12" s="1"/>
  <c r="AM294" i="12"/>
  <c r="AO294" i="12" s="1"/>
  <c r="AU214" i="12"/>
  <c r="S214" i="12" s="1"/>
  <c r="AT120" i="12"/>
  <c r="R120" i="12" s="1"/>
  <c r="AU76" i="12"/>
  <c r="S76" i="12" s="1"/>
  <c r="AM78" i="12"/>
  <c r="AO78" i="12" s="1"/>
  <c r="AO178" i="12"/>
  <c r="AO228" i="12"/>
  <c r="AT228" i="12"/>
  <c r="R228" i="12" s="1"/>
  <c r="AU194" i="12"/>
  <c r="S194" i="12" s="1"/>
  <c r="AS166" i="12"/>
  <c r="Q166" i="12" s="1"/>
  <c r="AM52" i="12"/>
  <c r="AS52" i="12" s="1"/>
  <c r="Q52" i="12" s="1"/>
  <c r="AU60" i="12"/>
  <c r="S60" i="12" s="1"/>
  <c r="AT246" i="12"/>
  <c r="R246" i="12" s="1"/>
  <c r="AO108" i="12"/>
  <c r="AS82" i="12"/>
  <c r="Q82" i="12" s="1"/>
  <c r="AU96" i="12"/>
  <c r="S96" i="12" s="1"/>
  <c r="AM268" i="12"/>
  <c r="AO268" i="12" s="1"/>
  <c r="AS234" i="12"/>
  <c r="Q234" i="12" s="1"/>
  <c r="AO64" i="12"/>
  <c r="AT220" i="12"/>
  <c r="R220" i="12" s="1"/>
  <c r="AS114" i="12"/>
  <c r="Q114" i="12" s="1"/>
  <c r="AT194" i="12"/>
  <c r="R194" i="12" s="1"/>
  <c r="AU64" i="12"/>
  <c r="S64" i="12" s="1"/>
  <c r="AO80" i="12"/>
  <c r="AM100" i="12"/>
  <c r="AO100" i="12" s="1"/>
  <c r="AO144" i="12"/>
  <c r="AT42" i="12"/>
  <c r="R42" i="12" s="1"/>
  <c r="AO132" i="12"/>
  <c r="AS206" i="12"/>
  <c r="Q206" i="12" s="1"/>
  <c r="AU114" i="12"/>
  <c r="S114" i="12" s="1"/>
  <c r="AS26" i="12"/>
  <c r="Q26" i="12" s="1"/>
  <c r="AO90" i="12"/>
  <c r="AU208" i="12"/>
  <c r="S208" i="12" s="1"/>
  <c r="AU246" i="12"/>
  <c r="S246" i="12" s="1"/>
  <c r="AT60" i="12"/>
  <c r="R60" i="12" s="1"/>
  <c r="AO88" i="12"/>
  <c r="AU120" i="12"/>
  <c r="S120" i="12" s="1"/>
  <c r="AS178" i="12"/>
  <c r="Q178" i="12" s="1"/>
  <c r="AT108" i="12"/>
  <c r="R108" i="12" s="1"/>
  <c r="AO94" i="12"/>
  <c r="AU26" i="12"/>
  <c r="S26" i="12" s="1"/>
  <c r="AU90" i="12"/>
  <c r="S90" i="12" s="1"/>
  <c r="AS220" i="12"/>
  <c r="Q220" i="12" s="1"/>
  <c r="AU88" i="12"/>
  <c r="S88" i="12" s="1"/>
  <c r="AS122" i="12"/>
  <c r="Q122" i="12" s="1"/>
  <c r="AT144" i="12"/>
  <c r="R144" i="12" s="1"/>
  <c r="AU42" i="12"/>
  <c r="S42" i="12" s="1"/>
  <c r="AT206" i="12"/>
  <c r="R206" i="12" s="1"/>
  <c r="AS40" i="12"/>
  <c r="Q40" i="12" s="1"/>
  <c r="AM156" i="12"/>
  <c r="AO156" i="12" s="1"/>
  <c r="AT122" i="12"/>
  <c r="R122" i="12" s="1"/>
  <c r="AS246" i="12"/>
  <c r="Q246" i="12" s="1"/>
  <c r="AO60" i="12"/>
  <c r="AU144" i="12"/>
  <c r="S144" i="12" s="1"/>
  <c r="AO120" i="12"/>
  <c r="AT114" i="12"/>
  <c r="R114" i="12" s="1"/>
  <c r="AT178" i="12"/>
  <c r="R178" i="12" s="1"/>
  <c r="AS108" i="12"/>
  <c r="Q108" i="12" s="1"/>
  <c r="AS194" i="12"/>
  <c r="Q194" i="12" s="1"/>
  <c r="AU94" i="12"/>
  <c r="S94" i="12" s="1"/>
  <c r="AO26" i="12"/>
  <c r="AS64" i="12"/>
  <c r="Q64" i="12" s="1"/>
  <c r="AT90" i="12"/>
  <c r="R90" i="12" s="1"/>
  <c r="AT272" i="12"/>
  <c r="R272" i="12" s="1"/>
  <c r="AU206" i="12"/>
  <c r="S206" i="12" s="1"/>
  <c r="AU220" i="12"/>
  <c r="S220" i="12" s="1"/>
  <c r="AS88" i="12"/>
  <c r="Q88" i="12" s="1"/>
  <c r="AM300" i="12"/>
  <c r="AM276" i="12"/>
  <c r="AT276" i="12" s="1"/>
  <c r="R276" i="12" s="1"/>
  <c r="AM260" i="12"/>
  <c r="AT260" i="12" s="1"/>
  <c r="R260" i="12" s="1"/>
  <c r="AM56" i="12"/>
  <c r="AO56" i="12" s="1"/>
  <c r="AU132" i="12"/>
  <c r="S132" i="12" s="1"/>
  <c r="AO272" i="12"/>
  <c r="AU58" i="12"/>
  <c r="S58" i="12" s="1"/>
  <c r="AM176" i="12"/>
  <c r="AT176" i="12" s="1"/>
  <c r="R176" i="12" s="1"/>
  <c r="AM252" i="12"/>
  <c r="AO252" i="12" s="1"/>
  <c r="AM278" i="12"/>
  <c r="AS278" i="12" s="1"/>
  <c r="Q278" i="12" s="1"/>
  <c r="AM104" i="12"/>
  <c r="AT104" i="12" s="1"/>
  <c r="R104" i="12" s="1"/>
  <c r="AO174" i="12"/>
  <c r="AS174" i="12"/>
  <c r="Q174" i="12" s="1"/>
  <c r="AT174" i="12"/>
  <c r="R174" i="12" s="1"/>
  <c r="AU174" i="12"/>
  <c r="S174" i="12" s="1"/>
  <c r="AT234" i="12"/>
  <c r="R234" i="12" s="1"/>
  <c r="AM264" i="12"/>
  <c r="AO264" i="12" s="1"/>
  <c r="AO308" i="12"/>
  <c r="AT230" i="12"/>
  <c r="R230" i="12" s="1"/>
  <c r="AO158" i="12"/>
  <c r="AT198" i="12"/>
  <c r="R198" i="12" s="1"/>
  <c r="AO76" i="12"/>
  <c r="AT288" i="12"/>
  <c r="R288" i="12" s="1"/>
  <c r="AU166" i="12"/>
  <c r="S166" i="12" s="1"/>
  <c r="AU302" i="12"/>
  <c r="S302" i="12" s="1"/>
  <c r="AU308" i="12"/>
  <c r="S308" i="12" s="1"/>
  <c r="AS46" i="12"/>
  <c r="Q46" i="12" s="1"/>
  <c r="AS146" i="12"/>
  <c r="Q146" i="12" s="1"/>
  <c r="AM102" i="12"/>
  <c r="AO166" i="12"/>
  <c r="AT286" i="12"/>
  <c r="R286" i="12" s="1"/>
  <c r="AO184" i="12"/>
  <c r="AU198" i="12"/>
  <c r="S198" i="12" s="1"/>
  <c r="AT46" i="12"/>
  <c r="R46" i="12" s="1"/>
  <c r="AS80" i="12"/>
  <c r="Q80" i="12" s="1"/>
  <c r="AO146" i="12"/>
  <c r="AM262" i="12"/>
  <c r="AM22" i="12"/>
  <c r="AU22" i="12" s="1"/>
  <c r="S22" i="12" s="1"/>
  <c r="AU34" i="12"/>
  <c r="S34" i="12" s="1"/>
  <c r="AS286" i="12"/>
  <c r="Q286" i="12" s="1"/>
  <c r="AT96" i="12"/>
  <c r="R96" i="12" s="1"/>
  <c r="AS198" i="12"/>
  <c r="Q198" i="12" s="1"/>
  <c r="AU46" i="12"/>
  <c r="S46" i="12" s="1"/>
  <c r="AU80" i="12"/>
  <c r="S80" i="12" s="1"/>
  <c r="AU146" i="12"/>
  <c r="S146" i="12" s="1"/>
  <c r="AT58" i="12"/>
  <c r="R58" i="12" s="1"/>
  <c r="AM44" i="12"/>
  <c r="AS44" i="12" s="1"/>
  <c r="Q44" i="12" s="1"/>
  <c r="AM256" i="12"/>
  <c r="AO256" i="12" s="1"/>
  <c r="AM134" i="12"/>
  <c r="AU134" i="12" s="1"/>
  <c r="S134" i="12" s="1"/>
  <c r="AM224" i="12"/>
  <c r="AM70" i="12"/>
  <c r="AT70" i="12" s="1"/>
  <c r="R70" i="12" s="1"/>
  <c r="AM306" i="12"/>
  <c r="AS306" i="12" s="1"/>
  <c r="Q306" i="12" s="1"/>
  <c r="AM24" i="12"/>
  <c r="AO24" i="12" s="1"/>
  <c r="AS200" i="12"/>
  <c r="Q200" i="12" s="1"/>
  <c r="AU200" i="12"/>
  <c r="S200" i="12" s="1"/>
  <c r="AT200" i="12"/>
  <c r="R200" i="12" s="1"/>
  <c r="AO200" i="12"/>
  <c r="AU122" i="12"/>
  <c r="S122" i="12" s="1"/>
  <c r="AS308" i="12"/>
  <c r="Q308" i="12" s="1"/>
  <c r="AO234" i="12"/>
  <c r="AU230" i="12"/>
  <c r="S230" i="12" s="1"/>
  <c r="AS42" i="12"/>
  <c r="Q42" i="12" s="1"/>
  <c r="AS132" i="12"/>
  <c r="Q132" i="12" s="1"/>
  <c r="AT158" i="12"/>
  <c r="R158" i="12" s="1"/>
  <c r="AS272" i="12"/>
  <c r="Q272" i="12" s="1"/>
  <c r="AU40" i="12"/>
  <c r="S40" i="12" s="1"/>
  <c r="AO58" i="12"/>
  <c r="AM274" i="12"/>
  <c r="AM210" i="12"/>
  <c r="AO210" i="12" s="1"/>
  <c r="AM30" i="12"/>
  <c r="AO30" i="12" s="1"/>
  <c r="AM242" i="12"/>
  <c r="AO242" i="12" s="1"/>
  <c r="AU222" i="12"/>
  <c r="S222" i="12" s="1"/>
  <c r="AS238" i="12"/>
  <c r="Q238" i="12" s="1"/>
  <c r="AT170" i="12"/>
  <c r="R170" i="12" s="1"/>
  <c r="AT244" i="12"/>
  <c r="R244" i="12" s="1"/>
  <c r="AO40" i="12"/>
  <c r="AS74" i="12"/>
  <c r="Q74" i="12" s="1"/>
  <c r="AT74" i="12"/>
  <c r="R74" i="12" s="1"/>
  <c r="AU74" i="12"/>
  <c r="S74" i="12" s="1"/>
  <c r="AO74" i="12"/>
  <c r="AU130" i="12"/>
  <c r="S130" i="12" s="1"/>
  <c r="AS130" i="12"/>
  <c r="Q130" i="12" s="1"/>
  <c r="AO162" i="12"/>
  <c r="AT162" i="12"/>
  <c r="R162" i="12" s="1"/>
  <c r="AU162" i="12"/>
  <c r="S162" i="12" s="1"/>
  <c r="AS162" i="12"/>
  <c r="Q162" i="12" s="1"/>
  <c r="AS222" i="12"/>
  <c r="Q222" i="12" s="1"/>
  <c r="AO302" i="12"/>
  <c r="AO238" i="12"/>
  <c r="AT66" i="12"/>
  <c r="R66" i="12" s="1"/>
  <c r="AS34" i="12"/>
  <c r="Q34" i="12" s="1"/>
  <c r="AU184" i="12"/>
  <c r="S184" i="12" s="1"/>
  <c r="AO304" i="12"/>
  <c r="AM180" i="12"/>
  <c r="AS180" i="12" s="1"/>
  <c r="Q180" i="12" s="1"/>
  <c r="AT222" i="12"/>
  <c r="R222" i="12" s="1"/>
  <c r="AS302" i="12"/>
  <c r="Q302" i="12" s="1"/>
  <c r="AU238" i="12"/>
  <c r="S238" i="12" s="1"/>
  <c r="AT34" i="12"/>
  <c r="R34" i="12" s="1"/>
  <c r="AT184" i="12"/>
  <c r="R184" i="12" s="1"/>
  <c r="AT190" i="12"/>
  <c r="R190" i="12" s="1"/>
  <c r="AT68" i="12"/>
  <c r="R68" i="12" s="1"/>
  <c r="AM196" i="12"/>
  <c r="AT196" i="12" s="1"/>
  <c r="R196" i="12" s="1"/>
  <c r="AM164" i="12"/>
  <c r="AO164" i="12" s="1"/>
  <c r="AS128" i="12"/>
  <c r="Q128" i="12" s="1"/>
  <c r="AS62" i="12"/>
  <c r="Q62" i="12" s="1"/>
  <c r="AM116" i="12"/>
  <c r="AS116" i="12" s="1"/>
  <c r="Q116" i="12" s="1"/>
  <c r="AM284" i="12"/>
  <c r="AM266" i="12"/>
  <c r="AT266" i="12" s="1"/>
  <c r="R266" i="12" s="1"/>
  <c r="AM54" i="12"/>
  <c r="AO54" i="12" s="1"/>
  <c r="AM292" i="12"/>
  <c r="AO292" i="12" s="1"/>
  <c r="L149" i="19"/>
  <c r="V149" i="19" s="1"/>
  <c r="AS240" i="12"/>
  <c r="Q240" i="12" s="1"/>
  <c r="AU240" i="12"/>
  <c r="S240" i="12" s="1"/>
  <c r="AT240" i="12"/>
  <c r="R240" i="12" s="1"/>
  <c r="AO240" i="12"/>
  <c r="AO130" i="12"/>
  <c r="AS66" i="12"/>
  <c r="Q66" i="12" s="1"/>
  <c r="AO288" i="12"/>
  <c r="AS170" i="12"/>
  <c r="Q170" i="12" s="1"/>
  <c r="AU62" i="12"/>
  <c r="S62" i="12" s="1"/>
  <c r="AU68" i="12"/>
  <c r="S68" i="12" s="1"/>
  <c r="AT208" i="12"/>
  <c r="R208" i="12" s="1"/>
  <c r="AO290" i="12"/>
  <c r="AM280" i="12"/>
  <c r="AT280" i="12" s="1"/>
  <c r="R280" i="12" s="1"/>
  <c r="AT130" i="12"/>
  <c r="R130" i="12" s="1"/>
  <c r="AU82" i="12"/>
  <c r="S82" i="12" s="1"/>
  <c r="AU288" i="12"/>
  <c r="S288" i="12" s="1"/>
  <c r="AO170" i="12"/>
  <c r="AT128" i="12"/>
  <c r="R128" i="12" s="1"/>
  <c r="AO62" i="12"/>
  <c r="AS68" i="12"/>
  <c r="Q68" i="12" s="1"/>
  <c r="AO208" i="12"/>
  <c r="AS290" i="12"/>
  <c r="Q290" i="12" s="1"/>
  <c r="AM50" i="12"/>
  <c r="AM296" i="12"/>
  <c r="AU66" i="12"/>
  <c r="S66" i="12" s="1"/>
  <c r="AT82" i="12"/>
  <c r="R82" i="12" s="1"/>
  <c r="AM282" i="12"/>
  <c r="AS282" i="12" s="1"/>
  <c r="Q282" i="12" s="1"/>
  <c r="AM86" i="12"/>
  <c r="AO86" i="12" s="1"/>
  <c r="AU182" i="12"/>
  <c r="S182" i="12" s="1"/>
  <c r="AO182" i="12"/>
  <c r="AT182" i="12"/>
  <c r="R182" i="12" s="1"/>
  <c r="AS182" i="12"/>
  <c r="Q182" i="12" s="1"/>
  <c r="AO248" i="12"/>
  <c r="AT248" i="12"/>
  <c r="R248" i="12" s="1"/>
  <c r="AU248" i="12"/>
  <c r="S248" i="12" s="1"/>
  <c r="AS248" i="12"/>
  <c r="Q248" i="12" s="1"/>
  <c r="AT304" i="12"/>
  <c r="R304" i="12" s="1"/>
  <c r="AS230" i="12"/>
  <c r="Q230" i="12" s="1"/>
  <c r="AS98" i="12"/>
  <c r="Q98" i="12" s="1"/>
  <c r="AU190" i="12"/>
  <c r="S190" i="12" s="1"/>
  <c r="AT98" i="12"/>
  <c r="R98" i="12" s="1"/>
  <c r="AU304" i="12"/>
  <c r="S304" i="12" s="1"/>
  <c r="AS244" i="12"/>
  <c r="Q244" i="12" s="1"/>
  <c r="AU98" i="12"/>
  <c r="S98" i="12" s="1"/>
  <c r="AO190" i="12"/>
  <c r="AU216" i="12"/>
  <c r="S216" i="12" s="1"/>
  <c r="AM92" i="12"/>
  <c r="AM32" i="12"/>
  <c r="AO216" i="12"/>
  <c r="AM140" i="12"/>
  <c r="AO140" i="12" s="1"/>
  <c r="AO128" i="12"/>
  <c r="AS304" i="12"/>
  <c r="Q304" i="12" s="1"/>
  <c r="AU244" i="12"/>
  <c r="S244" i="12" s="1"/>
  <c r="AO286" i="12"/>
  <c r="AS216" i="12"/>
  <c r="Q216" i="12" s="1"/>
  <c r="AO96" i="12"/>
  <c r="AT160" i="12"/>
  <c r="R160" i="12" s="1"/>
  <c r="AU160" i="12"/>
  <c r="S160" i="12" s="1"/>
  <c r="AO160" i="12"/>
  <c r="AS160" i="12"/>
  <c r="Q160" i="12" s="1"/>
  <c r="AU84" i="12"/>
  <c r="S84" i="12" s="1"/>
  <c r="AS84" i="12"/>
  <c r="Q84" i="12" s="1"/>
  <c r="AO84" i="12"/>
  <c r="AT84" i="12"/>
  <c r="R84" i="12" s="1"/>
  <c r="AO254" i="12"/>
  <c r="AU254" i="12"/>
  <c r="S254" i="12" s="1"/>
  <c r="AS254" i="12"/>
  <c r="Q254" i="12" s="1"/>
  <c r="AT254" i="12"/>
  <c r="R254" i="12" s="1"/>
  <c r="AS204" i="12"/>
  <c r="Q204" i="12" s="1"/>
  <c r="AU204" i="12"/>
  <c r="S204" i="12" s="1"/>
  <c r="AT204" i="12"/>
  <c r="R204" i="12" s="1"/>
  <c r="AO204" i="12"/>
  <c r="AO258" i="12"/>
  <c r="AT258" i="12"/>
  <c r="R258" i="12" s="1"/>
  <c r="AS258" i="12"/>
  <c r="Q258" i="12" s="1"/>
  <c r="AU258" i="12"/>
  <c r="S258" i="12" s="1"/>
  <c r="AS270" i="12"/>
  <c r="Q270" i="12" s="1"/>
  <c r="AO270" i="12"/>
  <c r="AU270" i="12"/>
  <c r="S270" i="12" s="1"/>
  <c r="AT270" i="12"/>
  <c r="R270" i="12" s="1"/>
  <c r="AT126" i="12"/>
  <c r="R126" i="12" s="1"/>
  <c r="AS126" i="12"/>
  <c r="Q126" i="12" s="1"/>
  <c r="AU126" i="12"/>
  <c r="S126" i="12" s="1"/>
  <c r="AO126" i="12"/>
  <c r="AU124" i="12"/>
  <c r="S124" i="12" s="1"/>
  <c r="AT124" i="12"/>
  <c r="R124" i="12" s="1"/>
  <c r="AO124" i="12"/>
  <c r="AS124" i="12"/>
  <c r="Q124" i="12" s="1"/>
  <c r="AT152" i="12"/>
  <c r="R152" i="12" s="1"/>
  <c r="AU152" i="12"/>
  <c r="S152" i="12" s="1"/>
  <c r="AO152" i="12"/>
  <c r="AS152" i="12"/>
  <c r="Q152" i="12" s="1"/>
  <c r="AU192" i="12"/>
  <c r="S192" i="12" s="1"/>
  <c r="AT192" i="12"/>
  <c r="R192" i="12" s="1"/>
  <c r="AS192" i="12"/>
  <c r="Q192" i="12" s="1"/>
  <c r="AO192" i="12"/>
  <c r="AO118" i="12"/>
  <c r="AU118" i="12"/>
  <c r="S118" i="12" s="1"/>
  <c r="AS118" i="12"/>
  <c r="Q118" i="12" s="1"/>
  <c r="AT118" i="12"/>
  <c r="R118" i="12" s="1"/>
  <c r="AU226" i="12"/>
  <c r="S226" i="12" s="1"/>
  <c r="AS226" i="12"/>
  <c r="Q226" i="12" s="1"/>
  <c r="AT226" i="12"/>
  <c r="R226" i="12" s="1"/>
  <c r="AO226" i="12"/>
  <c r="AS28" i="12"/>
  <c r="Q28" i="12" s="1"/>
  <c r="AO28" i="12"/>
  <c r="AU28" i="12"/>
  <c r="S28" i="12" s="1"/>
  <c r="AT28" i="12"/>
  <c r="R28" i="12" s="1"/>
  <c r="AT136" i="12"/>
  <c r="R136" i="12" s="1"/>
  <c r="AS136" i="12"/>
  <c r="Q136" i="12" s="1"/>
  <c r="AO136" i="12"/>
  <c r="AU136" i="12"/>
  <c r="S136" i="12" s="1"/>
  <c r="AS168" i="12"/>
  <c r="Q168" i="12" s="1"/>
  <c r="AO168" i="12"/>
  <c r="AU168" i="12"/>
  <c r="S168" i="12" s="1"/>
  <c r="AT168" i="12"/>
  <c r="R168" i="12" s="1"/>
  <c r="AT250" i="12"/>
  <c r="R250" i="12" s="1"/>
  <c r="AO250" i="12"/>
  <c r="AU250" i="12"/>
  <c r="S250" i="12" s="1"/>
  <c r="AS250" i="12"/>
  <c r="Q250" i="12" s="1"/>
  <c r="AO186" i="12"/>
  <c r="AU186" i="12"/>
  <c r="S186" i="12" s="1"/>
  <c r="AS186" i="12"/>
  <c r="Q186" i="12" s="1"/>
  <c r="AT186" i="12"/>
  <c r="R186" i="12" s="1"/>
  <c r="AO232" i="12"/>
  <c r="AU232" i="12"/>
  <c r="S232" i="12" s="1"/>
  <c r="AT232" i="12"/>
  <c r="R232" i="12" s="1"/>
  <c r="AS232" i="12"/>
  <c r="Q232" i="12" s="1"/>
  <c r="AU72" i="12"/>
  <c r="S72" i="12" s="1"/>
  <c r="AS72" i="12"/>
  <c r="Q72" i="12" s="1"/>
  <c r="AO72" i="12"/>
  <c r="AT72" i="12"/>
  <c r="R72" i="12" s="1"/>
  <c r="AU298" i="12"/>
  <c r="S298" i="12" s="1"/>
  <c r="AO298" i="12"/>
  <c r="AT298" i="12"/>
  <c r="R298" i="12" s="1"/>
  <c r="AS298" i="12"/>
  <c r="Q298" i="12" s="1"/>
  <c r="AS150" i="12"/>
  <c r="Q150" i="12" s="1"/>
  <c r="AT150" i="12"/>
  <c r="R150" i="12" s="1"/>
  <c r="AO150" i="12"/>
  <c r="AU150" i="12"/>
  <c r="S150" i="12" s="1"/>
  <c r="AU154" i="12"/>
  <c r="S154" i="12" s="1"/>
  <c r="AT154" i="12"/>
  <c r="R154" i="12" s="1"/>
  <c r="AS154" i="12"/>
  <c r="Q154" i="12" s="1"/>
  <c r="AO154" i="12"/>
  <c r="AO212" i="12"/>
  <c r="AU212" i="12"/>
  <c r="S212" i="12" s="1"/>
  <c r="AS212" i="12"/>
  <c r="Q212" i="12" s="1"/>
  <c r="AT212" i="12"/>
  <c r="R212" i="12" s="1"/>
  <c r="AS112" i="12"/>
  <c r="Q112" i="12" s="1"/>
  <c r="AT112" i="12"/>
  <c r="R112" i="12" s="1"/>
  <c r="AU112" i="12"/>
  <c r="S112" i="12" s="1"/>
  <c r="AO112" i="12"/>
  <c r="AT38" i="12"/>
  <c r="R38" i="12" s="1"/>
  <c r="AS38" i="12"/>
  <c r="Q38" i="12" s="1"/>
  <c r="AU38" i="12"/>
  <c r="S38" i="12" s="1"/>
  <c r="AO38" i="12"/>
  <c r="L156" i="15"/>
  <c r="U156" i="15" s="1"/>
  <c r="AT218" i="12" l="1"/>
  <c r="R218" i="12" s="1"/>
  <c r="AU48" i="12"/>
  <c r="S48" i="12" s="1"/>
  <c r="AU218" i="12"/>
  <c r="S218" i="12" s="1"/>
  <c r="AO218" i="12"/>
  <c r="AU236" i="12"/>
  <c r="S236" i="12" s="1"/>
  <c r="AS110" i="12"/>
  <c r="Q110" i="12" s="1"/>
  <c r="AO48" i="12"/>
  <c r="AT48" i="12"/>
  <c r="R48" i="12" s="1"/>
  <c r="AS236" i="12"/>
  <c r="Q236" i="12" s="1"/>
  <c r="AO236" i="12"/>
  <c r="AU202" i="12"/>
  <c r="S202" i="12" s="1"/>
  <c r="AO202" i="12"/>
  <c r="AS202" i="12"/>
  <c r="Q202" i="12" s="1"/>
  <c r="AU78" i="12"/>
  <c r="S78" i="12" s="1"/>
  <c r="AO110" i="12"/>
  <c r="AT110" i="12"/>
  <c r="R110" i="12" s="1"/>
  <c r="AU52" i="12"/>
  <c r="S52" i="12" s="1"/>
  <c r="AT78" i="12"/>
  <c r="R78" i="12" s="1"/>
  <c r="AS78" i="12"/>
  <c r="Q78" i="12" s="1"/>
  <c r="AT294" i="12"/>
  <c r="R294" i="12" s="1"/>
  <c r="AS294" i="12"/>
  <c r="Q294" i="12" s="1"/>
  <c r="AU294" i="12"/>
  <c r="S294" i="12" s="1"/>
  <c r="AS104" i="12"/>
  <c r="Q104" i="12" s="1"/>
  <c r="AS22" i="12"/>
  <c r="Q22" i="12" s="1"/>
  <c r="AU260" i="12"/>
  <c r="S260" i="12" s="1"/>
  <c r="AT52" i="12"/>
  <c r="R52" i="12" s="1"/>
  <c r="AO278" i="12"/>
  <c r="AO52" i="12"/>
  <c r="AU56" i="12"/>
  <c r="S56" i="12" s="1"/>
  <c r="AU104" i="12"/>
  <c r="S104" i="12" s="1"/>
  <c r="AU268" i="12"/>
  <c r="S268" i="12" s="1"/>
  <c r="AS268" i="12"/>
  <c r="Q268" i="12" s="1"/>
  <c r="AT56" i="12"/>
  <c r="R56" i="12" s="1"/>
  <c r="AT256" i="12"/>
  <c r="R256" i="12" s="1"/>
  <c r="AT268" i="12"/>
  <c r="R268" i="12" s="1"/>
  <c r="AU100" i="12"/>
  <c r="S100" i="12" s="1"/>
  <c r="AS56" i="12"/>
  <c r="Q56" i="12" s="1"/>
  <c r="AO306" i="12"/>
  <c r="AS260" i="12"/>
  <c r="Q260" i="12" s="1"/>
  <c r="AT278" i="12"/>
  <c r="R278" i="12" s="1"/>
  <c r="AT210" i="12"/>
  <c r="R210" i="12" s="1"/>
  <c r="AO260" i="12"/>
  <c r="AU278" i="12"/>
  <c r="S278" i="12" s="1"/>
  <c r="AS134" i="12"/>
  <c r="Q134" i="12" s="1"/>
  <c r="AU256" i="12"/>
  <c r="S256" i="12" s="1"/>
  <c r="AU306" i="12"/>
  <c r="S306" i="12" s="1"/>
  <c r="AS210" i="12"/>
  <c r="Q210" i="12" s="1"/>
  <c r="AS100" i="12"/>
  <c r="Q100" i="12" s="1"/>
  <c r="AS256" i="12"/>
  <c r="Q256" i="12" s="1"/>
  <c r="AU196" i="12"/>
  <c r="S196" i="12" s="1"/>
  <c r="AU44" i="12"/>
  <c r="S44" i="12" s="1"/>
  <c r="AU116" i="12"/>
  <c r="S116" i="12" s="1"/>
  <c r="AT264" i="12"/>
  <c r="R264" i="12" s="1"/>
  <c r="AU252" i="12"/>
  <c r="S252" i="12" s="1"/>
  <c r="AT100" i="12"/>
  <c r="R100" i="12" s="1"/>
  <c r="AS292" i="12"/>
  <c r="Q292" i="12" s="1"/>
  <c r="AS280" i="12"/>
  <c r="Q280" i="12" s="1"/>
  <c r="AO70" i="12"/>
  <c r="AS70" i="12"/>
  <c r="Q70" i="12" s="1"/>
  <c r="AS176" i="12"/>
  <c r="Q176" i="12" s="1"/>
  <c r="AO104" i="12"/>
  <c r="AT134" i="12"/>
  <c r="R134" i="12" s="1"/>
  <c r="AU280" i="12"/>
  <c r="S280" i="12" s="1"/>
  <c r="AU176" i="12"/>
  <c r="S176" i="12" s="1"/>
  <c r="AS86" i="12"/>
  <c r="Q86" i="12" s="1"/>
  <c r="AT252" i="12"/>
  <c r="R252" i="12" s="1"/>
  <c r="AT54" i="12"/>
  <c r="R54" i="12" s="1"/>
  <c r="AT300" i="12"/>
  <c r="R300" i="12" s="1"/>
  <c r="AS300" i="12"/>
  <c r="Q300" i="12" s="1"/>
  <c r="AU300" i="12"/>
  <c r="S300" i="12" s="1"/>
  <c r="AO300" i="12"/>
  <c r="AS252" i="12"/>
  <c r="Q252" i="12" s="1"/>
  <c r="AS242" i="12"/>
  <c r="Q242" i="12" s="1"/>
  <c r="AU156" i="12"/>
  <c r="S156" i="12" s="1"/>
  <c r="AU276" i="12"/>
  <c r="S276" i="12" s="1"/>
  <c r="AO276" i="12"/>
  <c r="AT242" i="12"/>
  <c r="R242" i="12" s="1"/>
  <c r="AO176" i="12"/>
  <c r="AT156" i="12"/>
  <c r="R156" i="12" s="1"/>
  <c r="AS264" i="12"/>
  <c r="Q264" i="12" s="1"/>
  <c r="AS156" i="12"/>
  <c r="Q156" i="12" s="1"/>
  <c r="AU70" i="12"/>
  <c r="S70" i="12" s="1"/>
  <c r="AS24" i="12"/>
  <c r="Q24" i="12" s="1"/>
  <c r="AS276" i="12"/>
  <c r="Q276" i="12" s="1"/>
  <c r="AU264" i="12"/>
  <c r="S264" i="12" s="1"/>
  <c r="AT180" i="12"/>
  <c r="R180" i="12" s="1"/>
  <c r="AU242" i="12"/>
  <c r="S242" i="12" s="1"/>
  <c r="AO22" i="12"/>
  <c r="AT22" i="12"/>
  <c r="R22" i="12" s="1"/>
  <c r="AU24" i="12"/>
  <c r="S24" i="12" s="1"/>
  <c r="AO102" i="12"/>
  <c r="AT102" i="12"/>
  <c r="R102" i="12" s="1"/>
  <c r="AS102" i="12"/>
  <c r="Q102" i="12" s="1"/>
  <c r="AU102" i="12"/>
  <c r="S102" i="12" s="1"/>
  <c r="AO266" i="12"/>
  <c r="AT24" i="12"/>
  <c r="R24" i="12" s="1"/>
  <c r="AO134" i="12"/>
  <c r="AO280" i="12"/>
  <c r="AT306" i="12"/>
  <c r="R306" i="12" s="1"/>
  <c r="AO180" i="12"/>
  <c r="AU54" i="12"/>
  <c r="S54" i="12" s="1"/>
  <c r="AS196" i="12"/>
  <c r="Q196" i="12" s="1"/>
  <c r="AO196" i="12"/>
  <c r="AT292" i="12"/>
  <c r="R292" i="12" s="1"/>
  <c r="AO44" i="12"/>
  <c r="AS266" i="12"/>
  <c r="Q266" i="12" s="1"/>
  <c r="AU266" i="12"/>
  <c r="S266" i="12" s="1"/>
  <c r="AU292" i="12"/>
  <c r="S292" i="12" s="1"/>
  <c r="AT44" i="12"/>
  <c r="R44" i="12" s="1"/>
  <c r="AO282" i="12"/>
  <c r="AU210" i="12"/>
  <c r="S210" i="12" s="1"/>
  <c r="AT224" i="12"/>
  <c r="R224" i="12" s="1"/>
  <c r="AS224" i="12"/>
  <c r="Q224" i="12" s="1"/>
  <c r="AO224" i="12"/>
  <c r="AU224" i="12"/>
  <c r="S224" i="12" s="1"/>
  <c r="AU262" i="12"/>
  <c r="S262" i="12" s="1"/>
  <c r="AO262" i="12"/>
  <c r="AS262" i="12"/>
  <c r="Q262" i="12" s="1"/>
  <c r="AT262" i="12"/>
  <c r="R262" i="12" s="1"/>
  <c r="AS274" i="12"/>
  <c r="Q274" i="12" s="1"/>
  <c r="AU274" i="12"/>
  <c r="S274" i="12" s="1"/>
  <c r="AO274" i="12"/>
  <c r="AT274" i="12"/>
  <c r="R274" i="12" s="1"/>
  <c r="AU180" i="12"/>
  <c r="S180" i="12" s="1"/>
  <c r="AS54" i="12"/>
  <c r="Q54" i="12" s="1"/>
  <c r="AT30" i="12"/>
  <c r="R30" i="12" s="1"/>
  <c r="AU30" i="12"/>
  <c r="S30" i="12" s="1"/>
  <c r="AS30" i="12"/>
  <c r="Q30" i="12" s="1"/>
  <c r="AS164" i="12"/>
  <c r="Q164" i="12" s="1"/>
  <c r="AT164" i="12"/>
  <c r="R164" i="12" s="1"/>
  <c r="AU164" i="12"/>
  <c r="S164" i="12" s="1"/>
  <c r="AT284" i="12"/>
  <c r="R284" i="12" s="1"/>
  <c r="AU284" i="12"/>
  <c r="S284" i="12" s="1"/>
  <c r="AO284" i="12"/>
  <c r="AS284" i="12"/>
  <c r="Q284" i="12" s="1"/>
  <c r="AT116" i="12"/>
  <c r="R116" i="12" s="1"/>
  <c r="AO116" i="12"/>
  <c r="AU86" i="12"/>
  <c r="S86" i="12" s="1"/>
  <c r="AT296" i="12"/>
  <c r="R296" i="12" s="1"/>
  <c r="AS296" i="12"/>
  <c r="Q296" i="12" s="1"/>
  <c r="AO296" i="12"/>
  <c r="AU296" i="12"/>
  <c r="S296" i="12" s="1"/>
  <c r="AT86" i="12"/>
  <c r="R86" i="12" s="1"/>
  <c r="AU282" i="12"/>
  <c r="S282" i="12" s="1"/>
  <c r="AT282" i="12"/>
  <c r="R282" i="12" s="1"/>
  <c r="AT50" i="12"/>
  <c r="R50" i="12" s="1"/>
  <c r="AU50" i="12"/>
  <c r="S50" i="12" s="1"/>
  <c r="AS50" i="12"/>
  <c r="Q50" i="12" s="1"/>
  <c r="AO50" i="12"/>
  <c r="AO92" i="12"/>
  <c r="AT92" i="12"/>
  <c r="R92" i="12" s="1"/>
  <c r="AS92" i="12"/>
  <c r="Q92" i="12" s="1"/>
  <c r="AU92" i="12"/>
  <c r="S92" i="12" s="1"/>
  <c r="AS32" i="12"/>
  <c r="Q32" i="12" s="1"/>
  <c r="AT32" i="12"/>
  <c r="AO32" i="12"/>
  <c r="AU32" i="12"/>
  <c r="AU140" i="12"/>
  <c r="S140" i="12" s="1"/>
  <c r="AS140" i="12"/>
  <c r="Q140" i="12" s="1"/>
  <c r="AT140" i="12"/>
  <c r="R140" i="12" s="1"/>
  <c r="Q10" i="12" l="1"/>
  <c r="Q11" i="12" s="1"/>
  <c r="S32" i="12"/>
  <c r="S10" i="12"/>
  <c r="S11" i="12" s="1"/>
  <c r="R32" i="12"/>
  <c r="R10" i="12"/>
  <c r="R11" i="12" s="1"/>
</calcChain>
</file>

<file path=xl/sharedStrings.xml><?xml version="1.0" encoding="utf-8"?>
<sst xmlns="http://schemas.openxmlformats.org/spreadsheetml/2006/main" count="3066" uniqueCount="793">
  <si>
    <t>Dato</t>
  </si>
  <si>
    <t>Trin:</t>
  </si>
  <si>
    <t>Trin</t>
  </si>
  <si>
    <t>Nettoløn</t>
  </si>
  <si>
    <t>Grundløn</t>
  </si>
  <si>
    <t>Tillæg</t>
  </si>
  <si>
    <t>Udligningstillæg</t>
  </si>
  <si>
    <t xml:space="preserve"> </t>
  </si>
  <si>
    <t>Underskrift:</t>
  </si>
  <si>
    <t>Dato:</t>
  </si>
  <si>
    <t>Ishøj Kommune</t>
  </si>
  <si>
    <t>Navn:</t>
  </si>
  <si>
    <t>Overenskomst/aftale</t>
  </si>
  <si>
    <t>Faste tillæg/fradrag</t>
  </si>
  <si>
    <t>Det skal indgå i overvejelserne, at det ikke er hensigten at yde dobbeltbetaling for samme funktioner/kvalifikationer.</t>
  </si>
  <si>
    <t>For organisationen:</t>
  </si>
  <si>
    <t>For medarbejderen:</t>
  </si>
  <si>
    <t>For kommunen:</t>
  </si>
  <si>
    <t>Fra og til</t>
  </si>
  <si>
    <t>Løntrin</t>
  </si>
  <si>
    <t>Tillæg pr. år</t>
  </si>
  <si>
    <t>Løn</t>
  </si>
  <si>
    <t>Pension</t>
  </si>
  <si>
    <t>pr. måned</t>
  </si>
  <si>
    <t>Fra løntrin</t>
  </si>
  <si>
    <t>Til løntrin</t>
  </si>
  <si>
    <t>Forskel løntrin</t>
  </si>
  <si>
    <t>Tillæg fra</t>
  </si>
  <si>
    <t>Tillæg til</t>
  </si>
  <si>
    <t>Forskel tillæg</t>
  </si>
  <si>
    <t>Udgiftsberegning</t>
  </si>
  <si>
    <t>Månedslønnede</t>
  </si>
  <si>
    <t>Timelønnede</t>
  </si>
  <si>
    <t xml:space="preserve"> =</t>
  </si>
  <si>
    <t>Evt. modregning</t>
  </si>
  <si>
    <t>(Husk fortegn)</t>
  </si>
  <si>
    <t>Evt. andre udgifter</t>
  </si>
  <si>
    <t>I alt pr. måned</t>
  </si>
  <si>
    <t>Helårsvirkning</t>
  </si>
  <si>
    <t>Beløb inkl. 3 dele pension årlig</t>
  </si>
  <si>
    <t>Overenskomst for kommunallæger</t>
  </si>
  <si>
    <t>Overenskomst vedr. journalister</t>
  </si>
  <si>
    <t>Overenskomst for håndværkere m.fl.</t>
  </si>
  <si>
    <t>Overenskomst vedr. diverse formænd</t>
  </si>
  <si>
    <t>Overenskomst for ikke fagl. lønarbejdere</t>
  </si>
  <si>
    <t>Overenskomst for kantine-&amp; reng.ledere</t>
  </si>
  <si>
    <t>Overenskomst vedr. tandlæger</t>
  </si>
  <si>
    <t>Aftale vedr. tandlæger</t>
  </si>
  <si>
    <t>Reglementsaftale vedr. daginst.personale</t>
  </si>
  <si>
    <t>Overenskomst for socialpædagoger mv.</t>
  </si>
  <si>
    <t>Aftale for socialpædagoger mv.</t>
  </si>
  <si>
    <t>Overenskomst vedr. dagplejeledere m.fl.</t>
  </si>
  <si>
    <t>Overenskomst vedr. pædagog. konsulenter</t>
  </si>
  <si>
    <t>Overenskomst vedr. dagplejere</t>
  </si>
  <si>
    <t>Overensk.vedr.social- og sundhedshj. m.f</t>
  </si>
  <si>
    <t>Beskæftigelsesgrad</t>
  </si>
  <si>
    <t>Løn før</t>
  </si>
  <si>
    <t>Løn nu</t>
  </si>
  <si>
    <t xml:space="preserve">                Puljebelastning</t>
  </si>
  <si>
    <t>1/1-31/12</t>
  </si>
  <si>
    <t>Til rådighed resten af året</t>
  </si>
  <si>
    <t>Antal</t>
  </si>
  <si>
    <t>Engangs-</t>
  </si>
  <si>
    <t>Virkning</t>
  </si>
  <si>
    <t>Fratrådt</t>
  </si>
  <si>
    <t>Navn</t>
  </si>
  <si>
    <t>timer</t>
  </si>
  <si>
    <t>fuldtids-</t>
  </si>
  <si>
    <t>løn</t>
  </si>
  <si>
    <t>kr. pr.</t>
  </si>
  <si>
    <t>tillæg</t>
  </si>
  <si>
    <t>Tiltrådt</t>
  </si>
  <si>
    <t>pr. uge</t>
  </si>
  <si>
    <t>norm-</t>
  </si>
  <si>
    <t>kr.</t>
  </si>
  <si>
    <t>måneder</t>
  </si>
  <si>
    <t>Årlig</t>
  </si>
  <si>
    <t>Ny løn</t>
  </si>
  <si>
    <t>pulje</t>
  </si>
  <si>
    <t>belastning</t>
  </si>
  <si>
    <t>Begrundelse for ydelse af funktionsløn og kvalifikationsløn:</t>
  </si>
  <si>
    <t>Tekst:</t>
  </si>
  <si>
    <t>Funktionsløn obligatorisk:</t>
  </si>
  <si>
    <t>Funktionsløn individuelt:</t>
  </si>
  <si>
    <t>Kvalifikationsløn obligatorisk:</t>
  </si>
  <si>
    <t>Kvalifikationsløn individuelt:</t>
  </si>
  <si>
    <t>Ialt</t>
  </si>
  <si>
    <t>Cpr. nr.</t>
  </si>
  <si>
    <t>Stilling</t>
  </si>
  <si>
    <t>Antal timer pr. uge</t>
  </si>
  <si>
    <t>Antal fuldtidsnormtimer</t>
  </si>
  <si>
    <t>Lønkontonummer</t>
  </si>
  <si>
    <t>Fratrædelsesdato</t>
  </si>
  <si>
    <t>Fratrådtes navn</t>
  </si>
  <si>
    <t>Tiltrædelsesdato</t>
  </si>
  <si>
    <t>Antal timer pr. uge/år</t>
  </si>
  <si>
    <t>Antal fuldtidsnormtimer pr. uge/år</t>
  </si>
  <si>
    <t>Antal timer pr. uge/år:</t>
  </si>
  <si>
    <t>Antal fuldtidsnormtimer pr. uge/år:</t>
  </si>
  <si>
    <t>AC1-8</t>
  </si>
  <si>
    <t>Standard</t>
  </si>
  <si>
    <t>Lønkode</t>
  </si>
  <si>
    <t>Startkolonne</t>
  </si>
  <si>
    <r>
      <t xml:space="preserve">Indtast oplysninger i de </t>
    </r>
    <r>
      <rPr>
        <b/>
        <sz val="10"/>
        <color indexed="9"/>
        <rFont val="Times New Roman"/>
        <family val="1"/>
      </rPr>
      <t>hvide</t>
    </r>
    <r>
      <rPr>
        <b/>
        <sz val="10"/>
        <rFont val="Times New Roman"/>
        <family val="1"/>
      </rPr>
      <t xml:space="preserve"> felter</t>
    </r>
  </si>
  <si>
    <t>Lønkode:</t>
  </si>
  <si>
    <t>TabelÆndringskode</t>
  </si>
  <si>
    <t>Løn-</t>
  </si>
  <si>
    <t>kode</t>
  </si>
  <si>
    <t xml:space="preserve"> 1=Fratrådt</t>
  </si>
  <si>
    <t xml:space="preserve"> 2=Tiltrådt</t>
  </si>
  <si>
    <t>0=Standard</t>
  </si>
  <si>
    <t>1=AC1-8</t>
  </si>
  <si>
    <t>2=AC1-17</t>
  </si>
  <si>
    <t xml:space="preserve"> Ændrings-</t>
  </si>
  <si>
    <t xml:space="preserve"> kode</t>
  </si>
  <si>
    <t>/år</t>
  </si>
  <si>
    <t>Pen-</t>
  </si>
  <si>
    <t>sions-</t>
  </si>
  <si>
    <t>pct.</t>
  </si>
  <si>
    <t>MaxPenskode</t>
  </si>
  <si>
    <t>Over-</t>
  </si>
  <si>
    <t>gang</t>
  </si>
  <si>
    <t>trin</t>
  </si>
  <si>
    <t>Puljebelastning</t>
  </si>
  <si>
    <t>Måned</t>
  </si>
  <si>
    <t>Fast Tillæg</t>
  </si>
  <si>
    <t>Startkolonner:</t>
  </si>
  <si>
    <t>Ændringskode</t>
  </si>
  <si>
    <t>PensionJN</t>
  </si>
  <si>
    <t>Tekst</t>
  </si>
  <si>
    <t>Overgang</t>
  </si>
  <si>
    <t>I alt</t>
  </si>
  <si>
    <t>År</t>
  </si>
  <si>
    <t>Heraf</t>
  </si>
  <si>
    <t>overgang</t>
  </si>
  <si>
    <t>Fra/Til</t>
  </si>
  <si>
    <t>JNovergang</t>
  </si>
  <si>
    <t>OvergangJN</t>
  </si>
  <si>
    <t>Netto</t>
  </si>
  <si>
    <t>ekskl.</t>
  </si>
  <si>
    <t>engangstill</t>
  </si>
  <si>
    <t>JNferiepenge</t>
  </si>
  <si>
    <t>Feriepenge</t>
  </si>
  <si>
    <t>procent</t>
  </si>
  <si>
    <t>Funktionsløn</t>
  </si>
  <si>
    <t>Kvalifikationsløn</t>
  </si>
  <si>
    <t xml:space="preserve"> 3=Løn før</t>
  </si>
  <si>
    <t xml:space="preserve"> 4=Løn nu</t>
  </si>
  <si>
    <t>Lønninger og pensioner pr.</t>
  </si>
  <si>
    <t>Netto-</t>
  </si>
  <si>
    <t>Driftskonto</t>
  </si>
  <si>
    <t>Adresse</t>
  </si>
  <si>
    <t>Postnr.     By</t>
  </si>
  <si>
    <r>
      <t>Lønreduktion som følge af eventuelt kommende lønstigninger</t>
    </r>
    <r>
      <rPr>
        <sz val="10"/>
        <rFont val="Times New Roman"/>
        <family val="1"/>
      </rPr>
      <t>. Funktionslønnen og kvalifikationslønnen reduceres som følge</t>
    </r>
  </si>
  <si>
    <t>af eventuelle fremtidige lønstigninger der dækker samme kvalifikationer, som aftalt centralt eller decentralt i en forhåndsaftale.</t>
  </si>
  <si>
    <t>NyLøn</t>
  </si>
  <si>
    <t>TabelLøntabel til Udgiftsberegning og NyLøn</t>
  </si>
  <si>
    <t>Udskriv</t>
  </si>
  <si>
    <t>linie</t>
  </si>
  <si>
    <t>4a</t>
  </si>
  <si>
    <t>4b</t>
  </si>
  <si>
    <t>Årligt</t>
  </si>
  <si>
    <t>kr. beløb</t>
  </si>
  <si>
    <t>årligt</t>
  </si>
  <si>
    <t>kr.beløb</t>
  </si>
  <si>
    <t>OrlovJN</t>
  </si>
  <si>
    <t>Forbrugt ved Ny Løn</t>
  </si>
  <si>
    <t>Overgangstillæg/trin</t>
  </si>
  <si>
    <t>MaxProcentForvPulje</t>
  </si>
  <si>
    <t>Procent</t>
  </si>
  <si>
    <t>Ændringsdato:</t>
  </si>
  <si>
    <t>Udgiftsberegning:</t>
  </si>
  <si>
    <t>Rammebeløb til Ny Løn i alt</t>
  </si>
  <si>
    <t>Lønkontonr.</t>
  </si>
  <si>
    <t>Orlov</t>
  </si>
  <si>
    <t>C</t>
  </si>
  <si>
    <t>D</t>
  </si>
  <si>
    <t>A</t>
  </si>
  <si>
    <t>B</t>
  </si>
  <si>
    <t>E</t>
  </si>
  <si>
    <t>F</t>
  </si>
  <si>
    <t>G</t>
  </si>
  <si>
    <t>H</t>
  </si>
  <si>
    <t>I</t>
  </si>
  <si>
    <t>J</t>
  </si>
  <si>
    <t>L</t>
  </si>
  <si>
    <t>N</t>
  </si>
  <si>
    <t>O</t>
  </si>
  <si>
    <t>P</t>
  </si>
  <si>
    <t>Q</t>
  </si>
  <si>
    <t>R</t>
  </si>
  <si>
    <t>S</t>
  </si>
  <si>
    <t>K</t>
  </si>
  <si>
    <t>M</t>
  </si>
  <si>
    <t>På orlov</t>
  </si>
  <si>
    <t xml:space="preserve"> 5=På orlov</t>
  </si>
  <si>
    <t>HK</t>
  </si>
  <si>
    <t>AC</t>
  </si>
  <si>
    <t>Bibliotekarforbundet</t>
  </si>
  <si>
    <t>Foreningen af spec. læger</t>
  </si>
  <si>
    <t>TL</t>
  </si>
  <si>
    <t>Dansk Journalistforbund</t>
  </si>
  <si>
    <t>Dansk Metal/Dansk El Forbund</t>
  </si>
  <si>
    <t>Dansk Formandsforening</t>
  </si>
  <si>
    <t>FOA</t>
  </si>
  <si>
    <t>Halinspektørforeningen</t>
  </si>
  <si>
    <t>DLF</t>
  </si>
  <si>
    <t>LVU</t>
  </si>
  <si>
    <t>BUPL</t>
  </si>
  <si>
    <t>SL</t>
  </si>
  <si>
    <t>LSF</t>
  </si>
  <si>
    <t>år</t>
  </si>
  <si>
    <t>Bemærkninger</t>
  </si>
  <si>
    <t>niveau *</t>
  </si>
  <si>
    <t>Tilbageføringen sker sådan:</t>
  </si>
  <si>
    <t>Afrundet til hele kr.</t>
  </si>
  <si>
    <t>Eksempel</t>
  </si>
  <si>
    <t>Din beregning</t>
  </si>
  <si>
    <t>Opgørelse af tillæg (husk at vælge pensionsordning i række 17):</t>
  </si>
  <si>
    <t>Historiske procentreguleringer:</t>
  </si>
  <si>
    <t>LSF (FOA)</t>
  </si>
  <si>
    <t>Pens.giv.</t>
  </si>
  <si>
    <t>løndele</t>
  </si>
  <si>
    <t>Socialrådgiverforeningen</t>
  </si>
  <si>
    <t>Lærere m.fl. i folkeskolen</t>
  </si>
  <si>
    <t>Aftale om tjenestemandsansatte lærere</t>
  </si>
  <si>
    <t>Grafisk beskæftiget personale</t>
  </si>
  <si>
    <t>HK/industri</t>
  </si>
  <si>
    <t>Ledere/mellemledere i kommunal ældreomsorg</t>
  </si>
  <si>
    <t>FOA/Lederforum</t>
  </si>
  <si>
    <t>Rådighedsbeløb overført fra tidligere år indtastes her</t>
  </si>
  <si>
    <t>Forbrug til ny medarbejder:</t>
  </si>
  <si>
    <t>Driftssted</t>
  </si>
  <si>
    <t>Månedsløn</t>
  </si>
  <si>
    <t>Årsløn</t>
  </si>
  <si>
    <t>Tillæg i alt</t>
  </si>
  <si>
    <t>I alt til besættelse af ny stilling:</t>
  </si>
  <si>
    <t>Løn og tillæg inkl. 3/3 pension</t>
  </si>
  <si>
    <t>3/3 pension af løn og tillæg</t>
  </si>
  <si>
    <t>Forskel mellem fratrådt/tiltrådt:</t>
  </si>
  <si>
    <t>17. Underskrift</t>
  </si>
  <si>
    <t>Udfyldt af:</t>
  </si>
  <si>
    <t>Afgang</t>
  </si>
  <si>
    <t>Tilgang</t>
  </si>
  <si>
    <t>Pens.kode</t>
  </si>
  <si>
    <t>I alt løn og tillæg inkl. 3/3 pension</t>
  </si>
  <si>
    <t>Driftssted:</t>
  </si>
  <si>
    <t>Driftsstedets lønpuljekontonr.:</t>
  </si>
  <si>
    <t>I alt løn og tillæg</t>
  </si>
  <si>
    <t>Tillæg ikke pensionsgivende</t>
  </si>
  <si>
    <t>Centralt aftalte trin pensionsgivende</t>
  </si>
  <si>
    <t>Centralt aftalte tillæg pensionsgivende</t>
  </si>
  <si>
    <t>Individuelt aftalte trin pensionsgivende</t>
  </si>
  <si>
    <t>Individuelt aftalte tillæg pensionsgivende</t>
  </si>
  <si>
    <t>Tillæg pensionsgivende</t>
  </si>
  <si>
    <t>Overgangstillæg ikke pensionsgivende</t>
  </si>
  <si>
    <t>TabelRammeforbrug</t>
  </si>
  <si>
    <t>Ramme-</t>
  </si>
  <si>
    <t>forbrug</t>
  </si>
  <si>
    <t>DSR/Økonomaf./Ergoterap.</t>
  </si>
  <si>
    <t>Timeløn</t>
  </si>
  <si>
    <t>Afgang/Tilgang/Timeløn</t>
  </si>
  <si>
    <t>Tilgang / Afgang for timelønnede</t>
  </si>
  <si>
    <t>18. Underskrift</t>
  </si>
  <si>
    <t>TabelPensgivLøn</t>
  </si>
  <si>
    <t>%</t>
  </si>
  <si>
    <t>Pensionsprocent:</t>
  </si>
  <si>
    <t>Startkolonner for månedsløn</t>
  </si>
  <si>
    <t>Puljebelastning antal måneder</t>
  </si>
  <si>
    <t>Pensionsprocent</t>
  </si>
  <si>
    <t>TabelPctReg</t>
  </si>
  <si>
    <t>Procentregulering</t>
  </si>
  <si>
    <t>Procentregul:</t>
  </si>
  <si>
    <t>Lønkode 3</t>
  </si>
  <si>
    <t>SundAlm</t>
  </si>
  <si>
    <t>Lønkode 4</t>
  </si>
  <si>
    <t>SundLeder</t>
  </si>
  <si>
    <t>Sundhedskartel:</t>
  </si>
  <si>
    <t>Niveau</t>
  </si>
  <si>
    <t>Procent-</t>
  </si>
  <si>
    <t>regulering</t>
  </si>
  <si>
    <t>Niveaudato:</t>
  </si>
  <si>
    <t>3=SundAlm</t>
  </si>
  <si>
    <t>4=SundLeder</t>
  </si>
  <si>
    <t>Basisår</t>
  </si>
  <si>
    <t>Tilført/forbrugt ved afgang/tilgang</t>
  </si>
  <si>
    <t>Overenskomst for tekniske designere m.fl</t>
  </si>
  <si>
    <t>5=Kostfaglig</t>
  </si>
  <si>
    <t>KTO</t>
  </si>
  <si>
    <t>Sundhed</t>
  </si>
  <si>
    <t>Divider med procentreguleringen</t>
  </si>
  <si>
    <t>Tillæg.</t>
  </si>
  <si>
    <t>Alle tillæg skal være årlige i grundsatsniveau.</t>
  </si>
  <si>
    <t>Grundsatsniveau for Sundhedskartellet er 1/1-2006.</t>
  </si>
  <si>
    <t>Årligt tillæg i grundsatsniveau</t>
  </si>
  <si>
    <t>For alle øvrige er grundsatsniveauet 31/3-2000.</t>
  </si>
  <si>
    <t>18. Originalen fremsendes til Personale og Udvikling:</t>
  </si>
  <si>
    <t>3F/FOA/SL</t>
  </si>
  <si>
    <t xml:space="preserve">0=Standard  1=AC(1-8)  2=AC(1-17) </t>
  </si>
  <si>
    <t>3=SundA  4=SundLeder  5= Kostfaglig</t>
  </si>
  <si>
    <t>Beredskabspersonale ved de kommunale redningsselskaber</t>
  </si>
  <si>
    <t>Overenskomst for pædagogisk uddannet personale, der ansættes inden for det forebyggende og dagbehandlende område</t>
  </si>
  <si>
    <t>Handicapledsagere</t>
  </si>
  <si>
    <t>Grundløn 42+3.900 / 46+12.700 / 47+7.700</t>
  </si>
  <si>
    <t>BUPL-Ledere</t>
  </si>
  <si>
    <t>BUPL-Souschefer</t>
  </si>
  <si>
    <t>Forhandlingskartellets Fællesoverenskomst</t>
  </si>
  <si>
    <t>Overenskomst for socialrådgivere og socialformidlere</t>
  </si>
  <si>
    <t xml:space="preserve">Rengøringsassistent </t>
  </si>
  <si>
    <t>Kantineledere</t>
  </si>
  <si>
    <t>Ledere</t>
  </si>
  <si>
    <t>Grundløn 36+3.000</t>
  </si>
  <si>
    <t>Dagplejere</t>
  </si>
  <si>
    <t>Grundløn 30+4.000</t>
  </si>
  <si>
    <t>LSF-Ledere over trin 37</t>
  </si>
  <si>
    <t>Social- og sundhedshjælper</t>
  </si>
  <si>
    <t>Aflønnes i Ishøj Kommune som Susu uden uddannelse</t>
  </si>
  <si>
    <t>FOA/Dansk Metal</t>
  </si>
  <si>
    <t>Overenskomst for ledende værkstedspersonale m.v. ved klientværksteder</t>
  </si>
  <si>
    <t>19. Originalen fremsendes til Personale og Udvikling</t>
  </si>
  <si>
    <t>Feriegodtg. (1,95%)</t>
  </si>
  <si>
    <t>Heraf 1,95% feriegodtgørelse:</t>
  </si>
  <si>
    <t xml:space="preserve">0=Standard. 1=AC skala1-8. 2=AC skala 1-17 </t>
  </si>
  <si>
    <t>3=Sund Alm. 4=Sund Leder. 5= Kostfaglig</t>
  </si>
  <si>
    <t>Rammebeløb til Ny Løn indeværende år indtastes her</t>
  </si>
  <si>
    <t>Omsorgs- og pædagogmedhjælpere uden PAU</t>
  </si>
  <si>
    <t>Omsorgs- og pædagogmedhjælpere med/uden PAU</t>
  </si>
  <si>
    <t>Overenskomst for ledere m.fl. indenfor undervisningsområdet</t>
  </si>
  <si>
    <t>Fritvalgstillæg kan ændres til +1,05% pension (13,65%)</t>
  </si>
  <si>
    <t>Ernæringshjælpere</t>
  </si>
  <si>
    <t>L5/L6</t>
  </si>
  <si>
    <t>Fritvalgstillæg kan ændres til +0,34%% pension (13,62%)</t>
  </si>
  <si>
    <t>Trin 33+5.000</t>
  </si>
  <si>
    <t>Ingen Fritvalgsordning</t>
  </si>
  <si>
    <t>TNL</t>
  </si>
  <si>
    <t>Socialpædagoger</t>
  </si>
  <si>
    <t>Trin 30</t>
  </si>
  <si>
    <t>Trin 27+1.025</t>
  </si>
  <si>
    <t>Trin 15+750</t>
  </si>
  <si>
    <t>Uændret</t>
  </si>
  <si>
    <t>plus 0,2%</t>
  </si>
  <si>
    <t>plus 0,27%</t>
  </si>
  <si>
    <t>plus 0,37%</t>
  </si>
  <si>
    <t>Forskellige</t>
  </si>
  <si>
    <t>plus 0,32%</t>
  </si>
  <si>
    <t>ingen</t>
  </si>
  <si>
    <t>Trin 31 -&gt; Trin 31+.2.000</t>
  </si>
  <si>
    <t>Trin 31+2.000</t>
  </si>
  <si>
    <t>AC skala</t>
  </si>
  <si>
    <t>1,1% pens kan veksles til løn (Fritvalgtillæg), så pens kun bliver 16,4%</t>
  </si>
  <si>
    <t>Håndværkere</t>
  </si>
  <si>
    <t>Trin 26+1750</t>
  </si>
  <si>
    <t>Grundlønstillæg 1500 (31.03.2000) stiger til 1.750 (31.03.2000)</t>
  </si>
  <si>
    <t>plus 0,25%</t>
  </si>
  <si>
    <t>0,46% pens kan veksles til løn (Fritvalgtillæg), så pens kun bliver 15,79%</t>
  </si>
  <si>
    <t>01.01.2012</t>
  </si>
  <si>
    <t>plus 0,3%</t>
  </si>
  <si>
    <t>plus 0,35%</t>
  </si>
  <si>
    <t>Reglementsansat pædagog</t>
  </si>
  <si>
    <t>Tjenestemandsansat socialpædagog</t>
  </si>
  <si>
    <t>plus 0,05%</t>
  </si>
  <si>
    <t>pension</t>
  </si>
  <si>
    <t>Forskellige-Se Overenskomst</t>
  </si>
  <si>
    <t>Kun for tekn design med særl fagl ansv eller ledelse</t>
  </si>
  <si>
    <t>0,36% pens kan veksles til løn (Fritvalgtillæg), så pens kun bliver 15,79%</t>
  </si>
  <si>
    <t>Mindre stigninger</t>
  </si>
  <si>
    <t>plus 0,9%</t>
  </si>
  <si>
    <t>Trin 28+2950</t>
  </si>
  <si>
    <t>Grundløntillæg steget fra 2.000 til 2.950</t>
  </si>
  <si>
    <t>Trin 47+6000</t>
  </si>
  <si>
    <t>0,58% pens kan veksles til løn (Fritvalgtillæg), så pens kun bliver 15,79%</t>
  </si>
  <si>
    <t>Trin 14</t>
  </si>
  <si>
    <t>Hidtidige rekruteringstillæg på 3600 bortfaldet - Veklset til 1 trin. Lukket gruppe med +1.000 kr indført</t>
  </si>
  <si>
    <t>Forhåndsaftale</t>
  </si>
  <si>
    <t>1,3% pens kan veksles til løn (Fritvalgtillæg), så pens kun bliver 15,00%</t>
  </si>
  <si>
    <t>3,52%% pens kan veksles til løn (Fritvalgtillæg), så pens kun bliver 15,00%</t>
  </si>
  <si>
    <t>Trin 18</t>
  </si>
  <si>
    <t>1,1% pens kan veksles til løn (Fritvalgtillæg), så pens kun bliver 12,9%</t>
  </si>
  <si>
    <t>2,6%% pens kan veksles til løn (Fritvalgtillæg), så pens kun bliver 15,10%</t>
  </si>
  <si>
    <t>01.04.2013</t>
  </si>
  <si>
    <t>01.10.2012</t>
  </si>
  <si>
    <t>0=Standard. 1=AC skala</t>
  </si>
  <si>
    <t>3=Sund Alm. 4=Sund Leder</t>
  </si>
  <si>
    <t>Direktionscenter - HR</t>
  </si>
  <si>
    <t>Lønaftale for nyansat medarbejder</t>
  </si>
  <si>
    <t>Fratrådt medarbejder / Råderum</t>
  </si>
  <si>
    <t>Reguleringsprocent</t>
  </si>
  <si>
    <t/>
  </si>
  <si>
    <t xml:space="preserve">  %</t>
  </si>
  <si>
    <t>Grundløns tillæg</t>
  </si>
  <si>
    <t>Grundløns trin</t>
  </si>
  <si>
    <t>Ikke-pensionsgivende funktionstillæg</t>
  </si>
  <si>
    <t>Funktionstrin (lokalt aftalt)</t>
  </si>
  <si>
    <t>Funktionstillæg (pens), (lokalt aftalt)</t>
  </si>
  <si>
    <t>Centralt aftalte funktionstrin</t>
  </si>
  <si>
    <t>Centralt aftalte funktionstillæg (pens)</t>
  </si>
  <si>
    <t>Centralt aftalte kvalifikationstrin</t>
  </si>
  <si>
    <t>Centralt aftalte kval.tillæg (pens)</t>
  </si>
  <si>
    <t>niveau</t>
  </si>
  <si>
    <t>Procentregulering:</t>
  </si>
  <si>
    <t>Kvalifikationstrin (lokalt aftalt)</t>
  </si>
  <si>
    <t>Kvalifikationstillæg (pens) (lokalt aftalt)</t>
  </si>
  <si>
    <t>Konverteret ulempetillæg (ikke-pens)</t>
  </si>
  <si>
    <t>Overgangstillæg (pensionsgivende)</t>
  </si>
  <si>
    <t>Overgangstillæg (ikke-pens)ionsgivende</t>
  </si>
  <si>
    <t>Udligningstillæg (pensionsgivende)</t>
  </si>
  <si>
    <t>Samlet løn og pension</t>
  </si>
  <si>
    <t>Overenskomstnr:</t>
  </si>
  <si>
    <t>Fremtidigt antal timer pr. uge</t>
  </si>
  <si>
    <t>Fuldtidstimetal:</t>
  </si>
  <si>
    <r>
      <t xml:space="preserve">Samlet løn </t>
    </r>
    <r>
      <rPr>
        <sz val="10"/>
        <rFont val="Arial Narrow"/>
        <family val="2"/>
      </rPr>
      <t>(uden pension)</t>
    </r>
  </si>
  <si>
    <t>+</t>
  </si>
  <si>
    <t>01.10.2013</t>
  </si>
  <si>
    <t>Grundlønnen aftales individuelt, kan dog højest udgøre trin 50</t>
  </si>
  <si>
    <t>Overenskomst for akademikere.</t>
  </si>
  <si>
    <t>Aftale/overenskomst for chefer</t>
  </si>
  <si>
    <t>Grundlønnen aftales individuelt</t>
  </si>
  <si>
    <t>Akademikere indplaceres på AC-skalen på baggrund af antal års akademisk beskæftigelse efter uddannelsens afslutning</t>
  </si>
  <si>
    <t>Overenskomstansatte og tjenestemandsansatte chefer</t>
  </si>
  <si>
    <t>Kommunale chefer (KC)</t>
  </si>
  <si>
    <t>Funktionstillæg</t>
  </si>
  <si>
    <t>Ændring af timetal</t>
  </si>
  <si>
    <t>Ændring af medarbejders løn / timetal</t>
  </si>
  <si>
    <t>Beskrivelse af fremtidige løntillæg</t>
  </si>
  <si>
    <t>Beskrivelse af nuværende løntillæg</t>
  </si>
  <si>
    <t xml:space="preserve">Lønnen ændres med </t>
  </si>
  <si>
    <t xml:space="preserve">Pensionen ændres med </t>
  </si>
  <si>
    <t>Samlede merudgifter</t>
  </si>
  <si>
    <t>kr. pr. måned</t>
  </si>
  <si>
    <t>kr. pr. år</t>
  </si>
  <si>
    <t>Konsekvenser af ændringen</t>
  </si>
  <si>
    <t>Nyansættelse af medarbejder</t>
  </si>
  <si>
    <t>Ansættes pr.</t>
  </si>
  <si>
    <t>Fastansættelse</t>
  </si>
  <si>
    <t>Begivenhedsansættelse</t>
  </si>
  <si>
    <t xml:space="preserve">Lønnen øges med </t>
  </si>
  <si>
    <t xml:space="preserve">Pensionen øges med </t>
  </si>
  <si>
    <t>Nuværende antal timer pr. uge</t>
  </si>
  <si>
    <t>Vejledning</t>
  </si>
  <si>
    <t>Overenskomstens navn:</t>
  </si>
  <si>
    <t>Dækningsområde:</t>
  </si>
  <si>
    <t>Forhandlingsberettiget organisation</t>
  </si>
  <si>
    <t>Tidsbegrænset ansat indtil dato:</t>
  </si>
  <si>
    <t>(Angiv årsag i bemærkningsfelt)</t>
  </si>
  <si>
    <t>Beregning af økonomisk råderum</t>
  </si>
  <si>
    <t>Den tidligere medarbejders navn</t>
  </si>
  <si>
    <t>pensionsret i bemærkningsfeltet.</t>
  </si>
  <si>
    <t>Skriv evt. bemærkninger om</t>
  </si>
  <si>
    <t>Bemærkninger vedr. optjening af pensionsret, erfaringsdatoer, begivenhedsansættelser og andet</t>
  </si>
  <si>
    <t>Funktionstillæg bortfalder, hvis funktionen ophører.</t>
  </si>
  <si>
    <t>Grundlønnen er fastsat i Ishøj Kommunes Forhåndsaftale</t>
  </si>
  <si>
    <t>Ingen fritvalgsordning</t>
  </si>
  <si>
    <t>Overenskomst for ledere i ungdomsskolen</t>
  </si>
  <si>
    <t>Ungdomsskoleleder</t>
  </si>
  <si>
    <t>Aftale for tjenestmandsansatte ledere i ungdomsskolen</t>
  </si>
  <si>
    <t>Landsforeningen af ungdomsskoleledere, Frederiksborggade 5, 2, 1360 Kbh K</t>
  </si>
  <si>
    <t>Ingen overenskomstbestemte tillæg</t>
  </si>
  <si>
    <t>Pædagogmedhjælpere og pædagogiske assistenter (PAU'ere)</t>
  </si>
  <si>
    <t>Kvalifikationstillæg</t>
  </si>
  <si>
    <t>Pædagopgmedhjælpere med 3 års erfaring ydes 3 løntrin. Efter 11 år ydes yderligere 3 løntrin</t>
  </si>
  <si>
    <t>PAU'ere med 3 års erfaring ydes 3 løntrin. Efter 6 år ydes yderligere 3 løntrin. Erfaring som medhjælper medtælles.</t>
  </si>
  <si>
    <t>.</t>
  </si>
  <si>
    <t>Der ydes et ikke-pensionsgivende tillæg på 12.900 (gradueret efter timetal på funktionen) til støttemedhjælpere,</t>
  </si>
  <si>
    <t>Pædagogmedhjælpere har grundløn 13 + 1.552, pædagogiske assistenter (PAU'ere) har grundløn trin 19 + 1.392</t>
  </si>
  <si>
    <t>Karens</t>
  </si>
  <si>
    <t>Fyldt 21 år. 10 måneders ansættelse med mindst 8 timer ugentligt indenfor de sidste 8 år i kommuner og regioner</t>
  </si>
  <si>
    <t>Særlig feriegodtgørelse</t>
  </si>
  <si>
    <t>Fritvalgsordning</t>
  </si>
  <si>
    <t>Kun fritvalgsordning for 55+ årige</t>
  </si>
  <si>
    <t>Overenskomst for pædagogmedhjælpere og pædagogiske assistenter (PAU'ere)</t>
  </si>
  <si>
    <t>12,94 procent</t>
  </si>
  <si>
    <t>1,95 procent</t>
  </si>
  <si>
    <t>til medhjælpere i afdelinger som kun har handicappede børn, til børnehavekl.medhjælpere og til prg. 20,2 skoler</t>
  </si>
  <si>
    <t>2,45 procent</t>
  </si>
  <si>
    <t>2,35 procent</t>
  </si>
  <si>
    <t>2,15 procent</t>
  </si>
  <si>
    <t>Medarbejder kan selv vælge at meddele Økonomi-Løn at han/hun ønsker at få indbetalt mere til pension med modregning i lønnen.</t>
  </si>
  <si>
    <t>Centralt aftalt tillæg (pens)</t>
  </si>
  <si>
    <t>Funktionstillæg (pens), (lokalt)</t>
  </si>
  <si>
    <t>Konverteret ulempe (ikke-pens)</t>
  </si>
  <si>
    <t>Ikke-pens. funktionstillæg</t>
  </si>
  <si>
    <t>Kval.tillæg (pens) (lokalt aftalt)</t>
  </si>
  <si>
    <t>Overgangstillæg (pens)</t>
  </si>
  <si>
    <t>Overgangstillæg (ikke-pens)</t>
  </si>
  <si>
    <t>Udligningstillæg (pens)</t>
  </si>
  <si>
    <t>Pædagoger ansat i vuggestuer, børnehaver, SFO'ere og på skoler</t>
  </si>
  <si>
    <t>Ernæringshjælpere med mere end 7 års erfaring indplaceres på trin 1.</t>
  </si>
  <si>
    <t>Hjælpere med mindre end 7 års erfa, indplaceres på 97% af trin 1. (gang arbejdstid med 0,97 i lønskema)</t>
  </si>
  <si>
    <t>Ernæringsassistenter</t>
  </si>
  <si>
    <t>Kosteneansvarlige</t>
  </si>
  <si>
    <t>Kosteneansvarlige indplaceres på trin 3+3100 uanset erfaring</t>
  </si>
  <si>
    <t>Proff.bach ernæring</t>
  </si>
  <si>
    <t>Proff.bach i ernæring og sundhed med mindre end 4 års erfa, trin 4+3100, mere end 4 år, trin 5.</t>
  </si>
  <si>
    <t>Ergo og Fys</t>
  </si>
  <si>
    <t>Sygeplejersker</t>
  </si>
  <si>
    <t>Ergoterapeuter og fysioterapeuter med mindre end 4 års erfa, trin 4+3100, mere end 4 år, trin 7.</t>
  </si>
  <si>
    <t>Sygeplejersker med mindre end 4 års erfa, trin 4+3100, mere end 4 år, trin 7</t>
  </si>
  <si>
    <t>Sundhedsplejersker</t>
  </si>
  <si>
    <t>Sund.pl med mindre end 4 års erfa, trin 5+3100+6600, mere end 4 år, trin 8+6600.</t>
  </si>
  <si>
    <t>Selvtilrettelæggende sundhedsplejersker, grundløn trin 8+6600</t>
  </si>
  <si>
    <t>Overenskomst for specialarbejdere, faglærte gartnere m.fl.</t>
  </si>
  <si>
    <t>Grundløn specialarbejdere</t>
  </si>
  <si>
    <t>Specialarbejdere og gartnere</t>
  </si>
  <si>
    <t>Grundløn faglærte gartnere</t>
  </si>
  <si>
    <t>Grundlønnen for specialarbejdere er trin 20 + 1.900 (FKKA området)</t>
  </si>
  <si>
    <t>Grundlønnen for faglærte gartnere er trin 27 + 1.900 (FKKA området)</t>
  </si>
  <si>
    <t>Overenskomsten oplister en række funktioner for hvilke der lokalt skal aftales et tillæg</t>
  </si>
  <si>
    <t>Specialarbejdere har en garantiløn på trin 22 +1.900 efter 4 år som specialarbejdere i Ishøj Kommune</t>
  </si>
  <si>
    <t>Garantiløn</t>
  </si>
  <si>
    <t>Overenskomsten oplister en række kvalifikationer for hvilke der lokalt skal aftales et tillæg</t>
  </si>
  <si>
    <t>Aftales individuelt</t>
  </si>
  <si>
    <t>Karensregler</t>
  </si>
  <si>
    <t>Fritvalg mht pension</t>
  </si>
  <si>
    <t>Hvis man intet vælger</t>
  </si>
  <si>
    <t>Individuel pension</t>
  </si>
  <si>
    <t>Pension til medarbejdere som er fyldt 21 år, som har mindst 9 måneders sammenlagt forudgående beskæftigelse i kommuner / regioner, (mindst 8 timer ugl) indenfor de seneste 8 år (Reglerne er ændret pr. 1. januar 2014)</t>
  </si>
  <si>
    <t>14,55 procent</t>
  </si>
  <si>
    <t>3F</t>
  </si>
  <si>
    <t>FOA eller 3F</t>
  </si>
  <si>
    <t>Overenskomst for teknisk service</t>
  </si>
  <si>
    <t>Teknisk servicemedarbejdere, tekniske serviceledere, teknisk servicechef m.fl.</t>
  </si>
  <si>
    <t>Grundløn - teknisk servicemedarbejder</t>
  </si>
  <si>
    <t>Grundløn - teknisk serviceleder</t>
  </si>
  <si>
    <t>Grundløn 14 + 1.800</t>
  </si>
  <si>
    <t>Grundløn - teknisk servicechef</t>
  </si>
  <si>
    <t>Grundløn 17 + 500, 22 + 500 eller 27 + 500</t>
  </si>
  <si>
    <t>Grundløn 27 + 500 eller 32 + 500</t>
  </si>
  <si>
    <t>Grundløn - udd. Ejendomsservicetekniker</t>
  </si>
  <si>
    <t>Grundløn 22 + 500 eller 24 + 500</t>
  </si>
  <si>
    <t>Teknisk servicemedarbejdere ydes +2 trin efter 6 års sammenlagt beskæftigelse indenfor faget</t>
  </si>
  <si>
    <t>13,5 procent</t>
  </si>
  <si>
    <t>Pension til medarbejdere som er fyldt 21 år, som har mindst 10 måneders sammenlagt forudgående beskæftigelse i kommuner / regioner, (mindst 8 timer ugl) indenfor de seneste 8 år (Reglerne er ændret pr. 1. januar 2014)</t>
  </si>
  <si>
    <t>Overenskomst for assistenter, mestre og driftsledere</t>
  </si>
  <si>
    <t>Grundløn 32</t>
  </si>
  <si>
    <t>Pension fra ansættelsen</t>
  </si>
  <si>
    <t>Medarbejder kan vælge at få udbetalt den pension som overstiger 15,79 procent</t>
  </si>
  <si>
    <t>18,35 procent</t>
  </si>
  <si>
    <t>Foretages intet valg, er pensionsprocenten 18,35%</t>
  </si>
  <si>
    <t>Dansk Metal eller Dansk El Forbund</t>
  </si>
  <si>
    <t>Socialrådgivere og socialformidlere</t>
  </si>
  <si>
    <t>Grundløn socialrådgivere</t>
  </si>
  <si>
    <t>Grundløn socialformidlere</t>
  </si>
  <si>
    <t>Grundløn 32 + 2.000, 34, 37, 41 + 3.900 eller 46 + 12.700</t>
  </si>
  <si>
    <t>Grundløn - ledere)</t>
  </si>
  <si>
    <t>Grundløn 42 + 3.900 eller 47 + 7.700</t>
  </si>
  <si>
    <t xml:space="preserve">"Familiebehandlingstillæg" ved døgninstitioner på 16.400; "Hjemme-hos" tillæg på 16.400 </t>
  </si>
  <si>
    <t>Praktikvejledertillæg</t>
  </si>
  <si>
    <t>Praktikvejledere (på grundløn 31-37) ydes et tillæg (se forhåndsaftale)</t>
  </si>
  <si>
    <t>Pensionsprocent socialrådgivere</t>
  </si>
  <si>
    <t>14,37 procent (Grundløn 31 + 2.000, 34 og 37)</t>
  </si>
  <si>
    <t>14,5 procent (grundløn 41 + 3.900)</t>
  </si>
  <si>
    <t>17,7 procent (grundløn 42 + 3.900 og højere)</t>
  </si>
  <si>
    <t>Pensionsprocent socialformidlere</t>
  </si>
  <si>
    <t>15,65 procent (grundløn 32 + 2.000, 34, 37 og 41 + 3.900)</t>
  </si>
  <si>
    <t>Pension ved ansættelsen (ændring pr. 1. januar 2014)</t>
  </si>
  <si>
    <t>Dansk  Socialrådgiverforening eller HK Kommunal</t>
  </si>
  <si>
    <t>Grundløn 31 + 2.000, 34, 37, 41 + 3.900 eller 46 x 12.700</t>
  </si>
  <si>
    <t>Tjenstemandsansatte bibliotikarer</t>
  </si>
  <si>
    <t>Grundløn basisstillinger</t>
  </si>
  <si>
    <t>Grundløn specialister</t>
  </si>
  <si>
    <t>Grundløn 37 eller 42 + 3.100</t>
  </si>
  <si>
    <t>Grundløn Mellemledere</t>
  </si>
  <si>
    <t>Grundløn 37, 42 + 3.100 eller 46 + 3.100</t>
  </si>
  <si>
    <t>Grundløn ledere</t>
  </si>
  <si>
    <t>Grundløn 46 + 3.100 elller 50 + 3.100</t>
  </si>
  <si>
    <t>Der skal indgås forhåndsaftale, hvis basisbibliotikarer varetageraften, lørdags, bogbus eller søndagstjeneste</t>
  </si>
  <si>
    <t>Ingen overenskomstbestemte kvalifikationstillæg</t>
  </si>
  <si>
    <t>17,82 procent (1. jan 2014)</t>
  </si>
  <si>
    <t>Overenskomsten omtaler ikke om medarbejdere selv har mulighed for at foretage en forhøjet pensionsindbetaling</t>
  </si>
  <si>
    <t>Aftale for tjenstemandsansatte bibliotekarer</t>
  </si>
  <si>
    <t>Grundløn 25 + 2.200 (1. jan. 2014)</t>
  </si>
  <si>
    <t>Teknisk Landsforbund eller Konstruktørforeningen</t>
  </si>
  <si>
    <t>Overenskomst for bygningskonstruktører</t>
  </si>
  <si>
    <t>Bygningskonstruktører</t>
  </si>
  <si>
    <t>Grundløn 29 + 1.400.</t>
  </si>
  <si>
    <t>Grundløn fagligt ansvarlige</t>
  </si>
  <si>
    <t>Grundløn ledelsesopgaver</t>
  </si>
  <si>
    <t>Grundløn 35 + 2.000 eller 41</t>
  </si>
  <si>
    <t>Der skal indgås lokalaftale for basismedarbejdere</t>
  </si>
  <si>
    <t>Kvaliifikationstillæg</t>
  </si>
  <si>
    <t>16,8 procent (pr. 1. januar 2014)</t>
  </si>
  <si>
    <t>Foretages intet valg, er pensionsprocenten 16,8%</t>
  </si>
  <si>
    <t>Grundlønnen er 238.212 (31.03.2000 niveau)</t>
  </si>
  <si>
    <t>Ingen overenskomstbestemte tillæg (udover de anciennitetsbestemte)</t>
  </si>
  <si>
    <t>Medarbejdere ydes efter 4 års beskæftigelse (efter endt uddannelse) et tillæg på 19.419 (31.03.2000)</t>
  </si>
  <si>
    <t>Medarbejdere ydes efter 8 års beskæftigelse (efter endt uddannelse) et yderligere tillæg på 16.039 (31.03.2000)</t>
  </si>
  <si>
    <t>18,5 procent</t>
  </si>
  <si>
    <t>Medarbejder kan vælge at få udbetalt den pension som overstiger 16,6 procent</t>
  </si>
  <si>
    <t>Foretages intet valg, er pensionsprocenten 18,5%</t>
  </si>
  <si>
    <t>Laboranter, laboratoriteknikere, laborantpraktikanter, miljøteknikere, miljøassistenter og professionsbachelorer</t>
  </si>
  <si>
    <t>Grundløn miljøassistenter</t>
  </si>
  <si>
    <t>Grundløn 22 + 1.800</t>
  </si>
  <si>
    <t>Grundløn laboranter</t>
  </si>
  <si>
    <t>Grundløn 23 + 1.800</t>
  </si>
  <si>
    <t>Grundløn laboratorieteknikere</t>
  </si>
  <si>
    <t>Grundløn miljøteknikere</t>
  </si>
  <si>
    <t>Grundløn 29 + 2.600</t>
  </si>
  <si>
    <t>Grundløn Professionsbachelorer</t>
  </si>
  <si>
    <t>Grundløn 32 (1. januar 2014)</t>
  </si>
  <si>
    <t>Grundløn specialister og ledere</t>
  </si>
  <si>
    <t>Grundløn 32 eller 36 + 2.600</t>
  </si>
  <si>
    <t>Praktikvejleder</t>
  </si>
  <si>
    <t>Der skal indgås forhåndsaftale for medarbejdere på grundløn 22 + 1800 - 29 + 2.600</t>
  </si>
  <si>
    <t>Overenskomst for laboratorie- og miljøpersonale</t>
  </si>
  <si>
    <t>Ingen overenskomstbestemte tillæg (udover praktikvejleder)</t>
  </si>
  <si>
    <t>Laboranter på grundløn 23 + 1.800 ydes 7 løntrin efter 6 års beskæftigelse på grundlag af grunduddannelsen</t>
  </si>
  <si>
    <t>Miljøassistenter på grundløn 22 + 1.800 ydes 7 løntrin efter 6 års beskæftigelse på grundlag af grunduddannelsen</t>
  </si>
  <si>
    <t>15,5 procent</t>
  </si>
  <si>
    <t>HK Kommunal</t>
  </si>
  <si>
    <t>Overenskomst for pædagogisk uddannet personale ansat i lederstillinger i kommunerne</t>
  </si>
  <si>
    <t>Pædagoger, der ansættes som pædagogisk-administrative ledere</t>
  </si>
  <si>
    <t>Se forhåndsaftalen</t>
  </si>
  <si>
    <t>15,64 procent</t>
  </si>
  <si>
    <t>Pension ved ansættelsen</t>
  </si>
  <si>
    <t>BUPL, FOA eller SL</t>
  </si>
  <si>
    <t>17,3 procent (17,9% incl. Fritvalgstillæg)</t>
  </si>
  <si>
    <t>Pensionsprocent (93 gruppen)</t>
  </si>
  <si>
    <t>19,8 procent (20,4% incl. Fritvalgstillæg)</t>
  </si>
  <si>
    <t>Fritvalgstillæg på 0,6 prcent (pr. 1. januar 2014)</t>
  </si>
  <si>
    <t>Ydes løntillægget</t>
  </si>
  <si>
    <t>Særligt vedr. pens,giv tillæg</t>
  </si>
  <si>
    <t>Tjenstemæmd kan vælge at få pensionen af tillæggene på 13.000, 6.400 og 12.000 som løntillæg.</t>
  </si>
  <si>
    <t>Overenskomst for lærere i ungdomsskolen</t>
  </si>
  <si>
    <t>Grundløn 30 + 3.000</t>
  </si>
  <si>
    <t>Varetages stedfortræderfunktion ydes tillæg på 15.400</t>
  </si>
  <si>
    <t>Øvrige funktionstillæg</t>
  </si>
  <si>
    <t>Se overenskosmten for timetillæg for forskellige typer undervisning</t>
  </si>
  <si>
    <t>Lærere i ungdomsskolen ydes et tillæg på 10.100 (ungdomsskoletillæg)</t>
  </si>
  <si>
    <t>Lærere med 4 års sammenlagt besk. på grundlag af grunduddannelsen, indplaceres på trin 34 + 3.000</t>
  </si>
  <si>
    <t>Efter 8 års sammenlagt besk. På baggrund af grunduddannelsen, indplaceres læreren på trin 39</t>
  </si>
  <si>
    <t>Efter 12 års sammenlagt besk. På baggrund af grunduddanelsen indpalceres læreren på trin 39 + 10.000</t>
  </si>
  <si>
    <t>Anciennitetstillæg</t>
  </si>
  <si>
    <t>Lærere i ungdomsskolen</t>
  </si>
  <si>
    <t>Trin 46 + 4200 (steget fra 2000 den 1. jan 2014), eller trin 48 eller trin 49</t>
  </si>
  <si>
    <t>Ledere og mellemledere på skolerne og ledere med læreruddannelse ansat i pædagogisk-administrative stillinger i CBU, skolekonsulenter med ledelse og (skole)psykologer med/uden ledelse</t>
  </si>
  <si>
    <t>LC</t>
  </si>
  <si>
    <t>Musikskoleledere med MGK ydes tillæg på 41.000</t>
  </si>
  <si>
    <t>Fritvalgsordning på 0,34 procent</t>
  </si>
  <si>
    <t>Foretages intet valg, udgør pensionsprocenten 15,64%</t>
  </si>
  <si>
    <t>FMM</t>
  </si>
  <si>
    <t>Overenskomst for musikskolelærere</t>
  </si>
  <si>
    <t>Overenskomst for musikskoleledere</t>
  </si>
  <si>
    <t>Musikskolelærere</t>
  </si>
  <si>
    <t>Musikskoleledere</t>
  </si>
  <si>
    <t>Grundløn 28</t>
  </si>
  <si>
    <t>Lærere som efter 6 års besk efter overenskomsten ikke allerede har opnået det, indplaceres på trin 34</t>
  </si>
  <si>
    <t>Lærere som efter 10 års besk efter overenskomsten ikke allerede har opnået det, indplaceres på trin 40</t>
  </si>
  <si>
    <t>Pension til lærere med mindst 12 måneders månedslønsbeskæftigelse efter overenskomsten</t>
  </si>
  <si>
    <t>Tandlæger, afdelingstandlæger, overtandlæger og specialtandlæger</t>
  </si>
  <si>
    <t>Grundløn tandlæger</t>
  </si>
  <si>
    <t>Grundløn 40 + 6.300</t>
  </si>
  <si>
    <t>Grundløn afdelingstandlæge</t>
  </si>
  <si>
    <t>Grundløn 49</t>
  </si>
  <si>
    <t>Grundløn overtandlæge</t>
  </si>
  <si>
    <t>Grundløn 51+ 48.000</t>
  </si>
  <si>
    <t>Grundløn specialtandlæge</t>
  </si>
  <si>
    <t>Grundløn 51 + 6.300</t>
  </si>
  <si>
    <t>Filialklinikledertillæg</t>
  </si>
  <si>
    <t>Aftales lokalt</t>
  </si>
  <si>
    <t xml:space="preserve">Tandlæger som efter 4 års ansættelse ikke allerede har opnået det, indplaceres på trin 46 + 6.300 </t>
  </si>
  <si>
    <t>(Filialklinikledertillæg modregnes ikke i garantilønnen)</t>
  </si>
  <si>
    <t>19,65 procent</t>
  </si>
  <si>
    <t xml:space="preserve">Pension til 21-25 årige tandlæger efter 8 måneders kommunal, amtslig, regional ansættelse på mindst 8 timer. </t>
  </si>
  <si>
    <t>Pension ved ansættelsen til tandlæger over 25 år.</t>
  </si>
  <si>
    <t>Medarbejder kan vælge at få udbetalt den pension som overstiger 15,8 procent</t>
  </si>
  <si>
    <t>Foretages intet valg, udgør pensionsprocenten 19,65%</t>
  </si>
  <si>
    <t>De Offentlige Tandlæger, Peter Bangs Vej 36, 3. tv, 2000 Frederiksberg eller Tandlægeforeningen Amaliegade 17, 1256 Kbh K.</t>
  </si>
  <si>
    <t>Tjenestemandsansatte tandlæger</t>
  </si>
  <si>
    <t>Overenskomst for tandklinikassistenter</t>
  </si>
  <si>
    <t>Grundløn tandklinikassistenter</t>
  </si>
  <si>
    <t>Grundløn 1. tandklinikassistenter</t>
  </si>
  <si>
    <t>Grundløn 27</t>
  </si>
  <si>
    <t>Grundløn 30 + 2.400 eller 36 + 2.600</t>
  </si>
  <si>
    <t>Tandklinikassistenter på grundløn 22 ydes 6 trin efter 7 års sammenlagt besk. På grundlag af grunduddannelsen.</t>
  </si>
  <si>
    <t>(De 6 trin ydes i evt. andre tillæg</t>
  </si>
  <si>
    <t>Ingen overenskomstbestemte tillæg udover 7 års tillægget</t>
  </si>
  <si>
    <t>Der skal indgås aftale om et praktikvejlertillæg</t>
  </si>
  <si>
    <t>Pension til medarbejdere over 21 år</t>
  </si>
  <si>
    <t>Ishøj Kommunale Tandplejes Tillidsrepræsentant for tandklinikassistenterne.</t>
  </si>
  <si>
    <t>Løntilskud</t>
  </si>
  <si>
    <t>Eventuelle forudgående løntilskudsperioder indgår i pensionskarenstid</t>
  </si>
  <si>
    <t>Eventuelle forudgående løntilskudsperioder indgår i opgørelse af erfaringsdato</t>
  </si>
  <si>
    <t>Eventuelle forudgående løntilskudsperioder indgår ikke i optjeningen af rådighedstillæggets anciennitet</t>
  </si>
  <si>
    <t>Bemærk at kun løntilskud i Ishæj Kommune medtælles i anciennitetsoptjeningen.</t>
  </si>
  <si>
    <t>01.01.2014</t>
  </si>
  <si>
    <t>Overenskomst for pædagoger ved daginst, sfoére, klubber mv.</t>
  </si>
  <si>
    <t>Grundløn 26</t>
  </si>
  <si>
    <t>Grundløn pædagpger</t>
  </si>
  <si>
    <t>Grundløn ikke-uddannede klub</t>
  </si>
  <si>
    <t>Grundløn mellemledere</t>
  </si>
  <si>
    <t>Afd.ledere trin 30, stedfortrædere, trin 29, souschefer trin 30</t>
  </si>
  <si>
    <t xml:space="preserve">Funktionstillæg </t>
  </si>
  <si>
    <t>Pædagoger som efter 6 års ansætelse på bagrund af pæd.uddannelsen ikke allerede er det, aflønnes på trin 30.</t>
  </si>
  <si>
    <t>Pædagoger som efter 6 års ansætelse på bagrund af pæd.uddannelsen ikke allerede er det, aflønnes på trin 35</t>
  </si>
  <si>
    <t>13,98 procent (steget 1. jan. 2014)</t>
  </si>
  <si>
    <t>Ændring af</t>
  </si>
  <si>
    <t>lønsammensætning</t>
  </si>
  <si>
    <t>Pædagoger - Garantiløn 6 år</t>
  </si>
  <si>
    <t>Pædagoger - Garantiløn 10 år</t>
  </si>
  <si>
    <t>Lønindplaceringsskemaer sendes til BUPL, Lindevænget 19, 2750 Ballerup</t>
  </si>
  <si>
    <t>Lønindplaceringsskemaet sendes til fællestillidsrepræsentant, Ulla Skytt i Viben SFO med intern post eller pr. email xxxxxxxxxxxxx</t>
  </si>
  <si>
    <t>Medarbejdere med pædagogisk baggrund ansat i "Tryghed og kriminalitetsforebyggelse"</t>
  </si>
  <si>
    <t>Grundløn 30 + 4.000</t>
  </si>
  <si>
    <t>Forhåndsaftale:</t>
  </si>
  <si>
    <t>Der ydes 10.000 i tillæg for weekendarbejde</t>
  </si>
  <si>
    <t>Der ydes 22.400 i tillæg for aftenarbejde</t>
  </si>
  <si>
    <t>Der ydes 3.500 i tillæg for potentielt akut tilkald</t>
  </si>
  <si>
    <t>Der er ingen garantiløn eller obligatoriske kval.tillæg på denne overenskomst</t>
  </si>
  <si>
    <t>Fremtidig</t>
  </si>
  <si>
    <t>lønindplacering</t>
  </si>
  <si>
    <t>31.03.2000 niveau</t>
  </si>
  <si>
    <t>Rådighedstillæg</t>
  </si>
  <si>
    <t>Funktionstillæg for selvstyrende team/fleksibel tilrettelæg: 5.000 pens.</t>
  </si>
  <si>
    <t>Ikke-uddannede</t>
  </si>
  <si>
    <t>1 trin efter 4 år, 1 trin efter 8 år, 1 trin efter 12 år.</t>
  </si>
  <si>
    <t>Pæd. Diplom: 7.000 pens.</t>
  </si>
  <si>
    <t>Nummer</t>
  </si>
  <si>
    <t>Overenskomstens navn</t>
  </si>
  <si>
    <t>Dækningsområde</t>
  </si>
  <si>
    <t>Ved ændringer i lønsammensætningen sendes lønindplaceringsskemaet til den forhandlingsberettigede faglige organisation.</t>
  </si>
  <si>
    <t>Overenskomsten oplister en række uddannelser for hvilke der skal aftales tillæg for lokalt.</t>
  </si>
  <si>
    <t>Ikke-uddannede klub - Garantiløn</t>
  </si>
  <si>
    <t>Procentreg:</t>
  </si>
  <si>
    <t>Beskrivelse af nuværende løn</t>
  </si>
  <si>
    <t>Funktionstillæg bortfalder hvis funktionen ophører</t>
  </si>
  <si>
    <t>Konsekvenser</t>
  </si>
  <si>
    <t>Pension for pædagogmedhjælpere over 21 år</t>
  </si>
  <si>
    <t>01.10.2014</t>
  </si>
  <si>
    <t>Albertslund Kommune</t>
  </si>
  <si>
    <t>Nuværende ansættelsesvilkår</t>
  </si>
  <si>
    <t xml:space="preserve">Albertslund Kommune  </t>
  </si>
  <si>
    <t>For overenskomstansatte og kontraktansatte chefer indbetales 19,05%, og pr. 1. april 2016: 19,55%</t>
  </si>
  <si>
    <t>For tjenestemandsansatte chefer indbetales 18,2% supplerende pensionsbidrag af de pensionsgivende tillæg</t>
  </si>
  <si>
    <t>Kontorass og studerende, trin 12 + 1.600</t>
  </si>
  <si>
    <t>Ved assistenter forstås faglært kontorpersonale med lærlinge-, EFG- eller erhvervs-faglig grunduddannelse inden for kontorfaget (offentlig administration eller lægesekretær). Uddannede lægesekretærer ansættes som assistent.</t>
  </si>
  <si>
    <t>Ved assistenter forstås ligeledes ansatte, som har gennemgået en uddannelse, der af Undervisningsministeriet, Det faglige Udvalg for kontoruddannelser eller Område-udvalget for Kontoruddannelser til Den Offentlige Forvaltning er blevet eller bliver godkendt som sidestillet med en egentlig lærlinge-, EFG- eller erhvervsuddannelse inden for kontorfaget. Se overenskosmten for eksempler.</t>
  </si>
  <si>
    <t>Overenskomstbestemt funktionstrin</t>
  </si>
  <si>
    <t>Overenskomst bestemt kvalifikationstrin</t>
  </si>
  <si>
    <t>Overenskomst bestemt funktionstillæg</t>
  </si>
  <si>
    <t>Overenskomst bestemt kval.tillæg (pens)</t>
  </si>
  <si>
    <t>Originalen med alles underskrifter sendes til Løn</t>
  </si>
  <si>
    <t>Ved timetalsændringer fremsendes lønindplaceringsskemaet alene til Løn</t>
  </si>
  <si>
    <t>Overenskomst for administration og it</t>
  </si>
  <si>
    <t>Ernæringsass med mindre end 7 års erfa, løntrin 1+3100. Mere end 7 år, trin 3 (uden 3.100)</t>
  </si>
  <si>
    <t>Område</t>
  </si>
  <si>
    <t>Grundbeløb</t>
  </si>
  <si>
    <t>Tjenestemands</t>
  </si>
  <si>
    <t>Det eneste som skal vedligeholdes er Tjenestemandsskalaen</t>
  </si>
  <si>
    <t>AC-skala vedligeholder sig selv via reguleringsprocenten</t>
  </si>
  <si>
    <t>01.04.2015</t>
  </si>
  <si>
    <t>01.10.2015</t>
  </si>
  <si>
    <t>01.01.2016</t>
  </si>
  <si>
    <t>(0,11 procent)</t>
  </si>
  <si>
    <t>(0,96 procent)</t>
  </si>
  <si>
    <t>(0,50 procent)</t>
  </si>
  <si>
    <t>De GULE felter skal opdateres</t>
  </si>
  <si>
    <t xml:space="preserve">Procentregulering </t>
  </si>
  <si>
    <t>Almindelig skala</t>
  </si>
  <si>
    <t>Sundhedsskalaen regulerer sig selv via reguleringsprocenten</t>
  </si>
  <si>
    <t>A-niveau</t>
  </si>
  <si>
    <t xml:space="preserve">  Dato:</t>
  </si>
  <si>
    <t>Funktionstillæg bortfalder, hvis funktionen ophører</t>
  </si>
  <si>
    <t>Overenskomstnummer</t>
  </si>
  <si>
    <t>Overenskomstnummer:</t>
  </si>
  <si>
    <t>Arbejdsplads</t>
  </si>
  <si>
    <t>Erfaringsdato (lønanciennitet)</t>
  </si>
  <si>
    <t>Erfaringsdato (Lønaniciennitet)</t>
  </si>
  <si>
    <t>Ingen reduktion i.f.t. besk.grad</t>
  </si>
  <si>
    <t>(sæt X)</t>
  </si>
  <si>
    <t>(Bemærkninger, fx engangsvederlag):</t>
  </si>
  <si>
    <t>01.10.2017</t>
  </si>
  <si>
    <t>Overensk. for sygepl, sundhedspl, ernæringsass og proff.bachelorer i ernæring</t>
  </si>
  <si>
    <t>Overenskomst for ergoterapeuter og fysioterapeuter</t>
  </si>
  <si>
    <t>Overenskomst for ledere, ergoterapeuter, fysioterapeuter</t>
  </si>
  <si>
    <t>Fælles overenskomst for ledere (ekskl. , ergoterapeuter, fysioterapeuter)</t>
  </si>
  <si>
    <t>A4</t>
  </si>
  <si>
    <t>A5</t>
  </si>
  <si>
    <t>A6</t>
  </si>
  <si>
    <t>A8</t>
  </si>
  <si>
    <r>
      <t xml:space="preserve">Ergoterapeuter og fysioterapeuter </t>
    </r>
    <r>
      <rPr>
        <b/>
        <sz val="10"/>
        <rFont val="Arial Narrow"/>
        <family val="2"/>
      </rPr>
      <t>LØNTRIN A4-A6 = 14-16, A8 = 18</t>
    </r>
  </si>
  <si>
    <r>
      <t xml:space="preserve">Sygeplejersker, sundhedsplejersker,  ernæringsassistenter og proffesionsbachelorer i ernæring, </t>
    </r>
    <r>
      <rPr>
        <b/>
        <sz val="10"/>
        <rFont val="Arial Narrow"/>
        <family val="2"/>
      </rPr>
      <t>LØNTRIN A4-A6 = 14-16, A8 = 18</t>
    </r>
  </si>
  <si>
    <t>Fødselsdato (DD.MM.ÅÅÅÅ)</t>
  </si>
  <si>
    <t>Mailadresse</t>
  </si>
  <si>
    <t>Telefonnr.</t>
  </si>
  <si>
    <t>Albertslund kommune:</t>
  </si>
  <si>
    <t>Faglig organisation</t>
  </si>
  <si>
    <t>Underskrift</t>
  </si>
  <si>
    <t>Tast "100" under trin i stedet for 1. Trin 1 er det som er angivet i overenskomsten, men hvis det skal passe må du taste 100 pga bagvedliggende opsætning.</t>
  </si>
  <si>
    <t>Indsat manuelt pga.journalistoverenskomst med kun 1 trin (oplyser 100 for nemhedens skyld i stedet for 57 eller herover.)</t>
  </si>
  <si>
    <r>
      <t xml:space="preserve">Funktionsløn </t>
    </r>
    <r>
      <rPr>
        <b/>
        <u/>
        <sz val="8"/>
        <rFont val="Arial Narrow"/>
        <family val="2"/>
      </rPr>
      <t>(ophører uden varsel når funktionen bortfalder)</t>
    </r>
  </si>
  <si>
    <r>
      <t>Funktionsløn</t>
    </r>
    <r>
      <rPr>
        <b/>
        <u/>
        <sz val="8"/>
        <rFont val="Arial Narrow"/>
        <family val="2"/>
      </rPr>
      <t xml:space="preserve"> (ophører uden varsel når funktionen bortfalder)</t>
    </r>
  </si>
  <si>
    <t xml:space="preserve">Fuldtidstimetal: </t>
  </si>
  <si>
    <t>Overenskomst for pædagogisk uddannet personale i særlige stillinger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</si>
</sst>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-* #,##0.00\ _k_r_._-;\-* #,##0.00\ _k_r_._-;_-* &quot;-&quot;??\ _k_r_._-;_-@_-"/>
    <numFmt numFmtId="165" formatCode="_ * #,##0.00_ ;_ * \-#,##0.00_ ;_ * &quot;-&quot;??_ ;_ @_ "/>
    <numFmt numFmtId="166" formatCode="_(* #,##0.00_);_(* \(#,##0.00\);_(* &quot;-&quot;??_);_(@_)"/>
    <numFmt numFmtId="167" formatCode="#,##0.0000"/>
    <numFmt numFmtId="168" formatCode="#,##0.00;[Red]#,##0.00"/>
    <numFmt numFmtId="169" formatCode="d\/m/yyyy"/>
    <numFmt numFmtId="170" formatCode="d\/m/yy"/>
    <numFmt numFmtId="171" formatCode="0.0000"/>
    <numFmt numFmtId="172" formatCode=";;;"/>
    <numFmt numFmtId="173" formatCode="#"/>
    <numFmt numFmtId="174" formatCode="0.0000%"/>
    <numFmt numFmtId="175" formatCode="0.000000"/>
    <numFmt numFmtId="176" formatCode="_(* #,##0_);_(* \(#,##0\);_(* &quot;-&quot;??_);_(@_)"/>
    <numFmt numFmtId="177" formatCode="_(* #,##0.0_);_(* \(#,##0.0\);_(* &quot;-&quot;??_);_(@_)"/>
  </numFmts>
  <fonts count="6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sz val="10"/>
      <color indexed="52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6"/>
      <name val="Arial"/>
      <family val="2"/>
    </font>
    <font>
      <sz val="7"/>
      <color indexed="10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9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theme="4" tint="0.5999938962981048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8" tint="0.59999389629810485"/>
      <name val="Arial Narrow"/>
      <family val="2"/>
    </font>
    <font>
      <sz val="10"/>
      <color theme="0" tint="-0.34998626667073579"/>
      <name val="Arial Narrow"/>
      <family val="2"/>
    </font>
    <font>
      <sz val="10"/>
      <color theme="1" tint="0.34998626667073579"/>
      <name val="Arial"/>
      <family val="2"/>
    </font>
    <font>
      <b/>
      <sz val="11"/>
      <color rgb="FFFF0000"/>
      <name val="Arial Narrow"/>
      <family val="2"/>
    </font>
    <font>
      <b/>
      <sz val="10.5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10"/>
      <color theme="4" tint="0.39997558519241921"/>
      <name val="Arial Narrow"/>
      <family val="2"/>
    </font>
    <font>
      <b/>
      <sz val="6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Times New Roman"/>
      <family val="1"/>
    </font>
    <font>
      <b/>
      <u/>
      <sz val="8"/>
      <name val="Arial Narrow"/>
      <family val="2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gray125"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3"/>
      </bottom>
      <diagonal/>
    </border>
  </borders>
  <cellStyleXfs count="24">
    <xf numFmtId="0" fontId="0" fillId="0" borderId="0"/>
    <xf numFmtId="166" fontId="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/>
    <xf numFmtId="0" fontId="40" fillId="0" borderId="0"/>
    <xf numFmtId="0" fontId="41" fillId="0" borderId="0"/>
    <xf numFmtId="0" fontId="6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4" fillId="0" borderId="0"/>
  </cellStyleXfs>
  <cellXfs count="73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 applyProtection="1">
      <alignment horizontal="centerContinuous"/>
      <protection hidden="1"/>
    </xf>
    <xf numFmtId="0" fontId="3" fillId="2" borderId="0" xfId="0" applyFont="1" applyFill="1" applyAlignment="1">
      <alignment horizontal="centerContinuous"/>
    </xf>
    <xf numFmtId="0" fontId="2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3" borderId="0" xfId="0" applyFont="1" applyFill="1"/>
    <xf numFmtId="0" fontId="3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168" fontId="2" fillId="2" borderId="0" xfId="0" applyNumberFormat="1" applyFont="1" applyFill="1" applyProtection="1">
      <protection hidden="1"/>
    </xf>
    <xf numFmtId="17" fontId="3" fillId="2" borderId="0" xfId="0" applyNumberFormat="1" applyFont="1" applyFill="1" applyAlignment="1" applyProtection="1">
      <alignment horizontal="center"/>
      <protection hidden="1"/>
    </xf>
    <xf numFmtId="168" fontId="2" fillId="2" borderId="0" xfId="0" applyNumberFormat="1" applyFont="1" applyFill="1" applyAlignment="1" applyProtection="1">
      <alignment horizontal="center"/>
      <protection hidden="1"/>
    </xf>
    <xf numFmtId="17" fontId="2" fillId="2" borderId="8" xfId="0" applyNumberFormat="1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7" fontId="2" fillId="2" borderId="9" xfId="0" applyNumberFormat="1" applyFont="1" applyFill="1" applyBorder="1" applyAlignment="1" applyProtection="1">
      <alignment horizontal="left"/>
      <protection hidden="1"/>
    </xf>
    <xf numFmtId="49" fontId="2" fillId="2" borderId="0" xfId="0" applyNumberFormat="1" applyFont="1" applyFill="1" applyAlignment="1" applyProtection="1">
      <alignment horizontal="center"/>
      <protection hidden="1"/>
    </xf>
    <xf numFmtId="169" fontId="2" fillId="2" borderId="9" xfId="0" applyNumberFormat="1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7" fontId="2" fillId="2" borderId="6" xfId="0" applyNumberFormat="1" applyFont="1" applyFill="1" applyBorder="1" applyAlignment="1" applyProtection="1">
      <alignment horizontal="left"/>
      <protection hidden="1"/>
    </xf>
    <xf numFmtId="17" fontId="2" fillId="2" borderId="6" xfId="0" applyNumberFormat="1" applyFont="1" applyFill="1" applyBorder="1" applyAlignment="1" applyProtection="1">
      <alignment horizontal="center"/>
      <protection hidden="1"/>
    </xf>
    <xf numFmtId="169" fontId="2" fillId="2" borderId="10" xfId="0" applyNumberFormat="1" applyFont="1" applyFill="1" applyBorder="1" applyAlignment="1" applyProtection="1">
      <alignment horizontal="center"/>
      <protection hidden="1"/>
    </xf>
    <xf numFmtId="169" fontId="2" fillId="2" borderId="5" xfId="0" applyNumberFormat="1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right"/>
      <protection locked="0"/>
    </xf>
    <xf numFmtId="0" fontId="2" fillId="2" borderId="4" xfId="0" applyFont="1" applyFill="1" applyBorder="1"/>
    <xf numFmtId="4" fontId="2" fillId="2" borderId="8" xfId="0" applyNumberFormat="1" applyFont="1" applyFill="1" applyBorder="1" applyAlignment="1" applyProtection="1">
      <alignment horizontal="right"/>
      <protection hidden="1"/>
    </xf>
    <xf numFmtId="0" fontId="2" fillId="2" borderId="2" xfId="0" applyFont="1" applyFill="1" applyBorder="1"/>
    <xf numFmtId="0" fontId="2" fillId="0" borderId="6" xfId="0" applyFont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hidden="1"/>
    </xf>
    <xf numFmtId="0" fontId="2" fillId="2" borderId="7" xfId="0" applyFont="1" applyFill="1" applyBorder="1"/>
    <xf numFmtId="3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9" xfId="0" applyFont="1" applyFill="1" applyBorder="1"/>
    <xf numFmtId="4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/>
    <xf numFmtId="4" fontId="2" fillId="2" borderId="11" xfId="0" applyNumberFormat="1" applyFont="1" applyFill="1" applyBorder="1" applyAlignment="1" applyProtection="1">
      <alignment horizontal="right"/>
      <protection hidden="1"/>
    </xf>
    <xf numFmtId="0" fontId="8" fillId="2" borderId="4" xfId="0" applyFont="1" applyFill="1" applyBorder="1" applyAlignment="1">
      <alignment horizontal="center"/>
    </xf>
    <xf numFmtId="4" fontId="2" fillId="0" borderId="9" xfId="1" applyNumberFormat="1" applyFont="1" applyFill="1" applyBorder="1" applyAlignment="1" applyProtection="1">
      <alignment horizontal="right"/>
      <protection locked="0"/>
    </xf>
    <xf numFmtId="166" fontId="2" fillId="2" borderId="5" xfId="0" applyNumberFormat="1" applyFont="1" applyFill="1" applyBorder="1"/>
    <xf numFmtId="4" fontId="2" fillId="2" borderId="5" xfId="1" applyNumberFormat="1" applyFont="1" applyFill="1" applyBorder="1" applyProtection="1">
      <protection hidden="1"/>
    </xf>
    <xf numFmtId="4" fontId="2" fillId="2" borderId="9" xfId="0" applyNumberFormat="1" applyFont="1" applyFill="1" applyBorder="1" applyAlignment="1" applyProtection="1">
      <alignment horizontal="right"/>
      <protection hidden="1"/>
    </xf>
    <xf numFmtId="0" fontId="8" fillId="2" borderId="10" xfId="0" applyFont="1" applyFill="1" applyBorder="1"/>
    <xf numFmtId="4" fontId="2" fillId="0" borderId="7" xfId="1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4" fontId="2" fillId="2" borderId="7" xfId="1" applyNumberFormat="1" applyFont="1" applyFill="1" applyBorder="1" applyProtection="1">
      <protection hidden="1"/>
    </xf>
    <xf numFmtId="0" fontId="8" fillId="2" borderId="12" xfId="0" applyFont="1" applyFill="1" applyBorder="1"/>
    <xf numFmtId="4" fontId="2" fillId="2" borderId="11" xfId="1" applyNumberFormat="1" applyFont="1" applyFill="1" applyBorder="1" applyProtection="1">
      <protection hidden="1"/>
    </xf>
    <xf numFmtId="0" fontId="2" fillId="2" borderId="13" xfId="0" applyFont="1" applyFill="1" applyBorder="1"/>
    <xf numFmtId="4" fontId="2" fillId="2" borderId="13" xfId="1" applyNumberFormat="1" applyFont="1" applyFill="1" applyBorder="1" applyProtection="1">
      <protection hidden="1"/>
    </xf>
    <xf numFmtId="4" fontId="2" fillId="2" borderId="14" xfId="0" applyNumberFormat="1" applyFont="1" applyFill="1" applyBorder="1" applyAlignment="1" applyProtection="1">
      <alignment horizontal="right"/>
      <protection hidden="1"/>
    </xf>
    <xf numFmtId="0" fontId="9" fillId="2" borderId="0" xfId="0" applyFont="1" applyFill="1"/>
    <xf numFmtId="0" fontId="2" fillId="2" borderId="0" xfId="0" applyFont="1" applyFill="1" applyAlignment="1">
      <alignment horizontal="right"/>
    </xf>
    <xf numFmtId="17" fontId="2" fillId="2" borderId="0" xfId="0" applyNumberFormat="1" applyFont="1" applyFill="1" applyAlignment="1" applyProtection="1">
      <alignment horizontal="left"/>
      <protection hidden="1"/>
    </xf>
    <xf numFmtId="4" fontId="2" fillId="2" borderId="0" xfId="0" applyNumberFormat="1" applyFont="1" applyFill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2" borderId="7" xfId="0" applyFont="1" applyFill="1" applyBorder="1" applyProtection="1">
      <protection hidden="1"/>
    </xf>
    <xf numFmtId="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  <xf numFmtId="0" fontId="2" fillId="2" borderId="15" xfId="0" applyFont="1" applyFill="1" applyBorder="1" applyProtection="1">
      <protection hidden="1"/>
    </xf>
    <xf numFmtId="4" fontId="2" fillId="2" borderId="15" xfId="0" applyNumberFormat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168" fontId="3" fillId="2" borderId="0" xfId="0" applyNumberFormat="1" applyFont="1" applyFill="1" applyProtection="1">
      <protection hidden="1"/>
    </xf>
    <xf numFmtId="0" fontId="3" fillId="2" borderId="15" xfId="0" applyFont="1" applyFill="1" applyBorder="1"/>
    <xf numFmtId="1" fontId="2" fillId="2" borderId="0" xfId="0" applyNumberFormat="1" applyFont="1" applyFill="1" applyAlignment="1" applyProtection="1">
      <alignment horizontal="left"/>
      <protection hidden="1"/>
    </xf>
    <xf numFmtId="0" fontId="4" fillId="0" borderId="16" xfId="0" applyFont="1" applyBorder="1"/>
    <xf numFmtId="0" fontId="14" fillId="0" borderId="4" xfId="0" applyFont="1" applyBorder="1"/>
    <xf numFmtId="0" fontId="14" fillId="0" borderId="0" xfId="0" applyFont="1"/>
    <xf numFmtId="1" fontId="4" fillId="0" borderId="0" xfId="0" applyNumberFormat="1" applyFont="1"/>
    <xf numFmtId="10" fontId="2" fillId="2" borderId="9" xfId="0" applyNumberFormat="1" applyFont="1" applyFill="1" applyBorder="1" applyAlignment="1" applyProtection="1">
      <alignment horizontal="center"/>
      <protection hidden="1"/>
    </xf>
    <xf numFmtId="169" fontId="2" fillId="2" borderId="0" xfId="0" applyNumberFormat="1" applyFont="1" applyFill="1" applyProtection="1">
      <protection hidden="1"/>
    </xf>
    <xf numFmtId="10" fontId="2" fillId="2" borderId="8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7" xfId="0" applyFont="1" applyFill="1" applyBorder="1" applyAlignment="1" applyProtection="1">
      <alignment horizontal="right"/>
      <protection hidden="1"/>
    </xf>
    <xf numFmtId="0" fontId="2" fillId="2" borderId="15" xfId="0" applyFont="1" applyFill="1" applyBorder="1" applyAlignment="1" applyProtection="1">
      <alignment horizontal="right"/>
      <protection hidden="1"/>
    </xf>
    <xf numFmtId="166" fontId="3" fillId="2" borderId="0" xfId="0" applyNumberFormat="1" applyFont="1" applyFill="1" applyProtection="1">
      <protection hidden="1"/>
    </xf>
    <xf numFmtId="0" fontId="3" fillId="3" borderId="17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3" fillId="2" borderId="17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8" xfId="0" applyFont="1" applyFill="1" applyBorder="1"/>
    <xf numFmtId="4" fontId="3" fillId="2" borderId="17" xfId="0" applyNumberFormat="1" applyFont="1" applyFill="1" applyBorder="1"/>
    <xf numFmtId="4" fontId="3" fillId="2" borderId="17" xfId="0" applyNumberFormat="1" applyFont="1" applyFill="1" applyBorder="1" applyProtection="1">
      <protection hidden="1"/>
    </xf>
    <xf numFmtId="0" fontId="3" fillId="2" borderId="17" xfId="0" applyFont="1" applyFill="1" applyBorder="1" applyAlignment="1" applyProtection="1">
      <alignment horizontal="center"/>
      <protection locked="0"/>
    </xf>
    <xf numFmtId="3" fontId="3" fillId="2" borderId="17" xfId="0" applyNumberFormat="1" applyFont="1" applyFill="1" applyBorder="1" applyProtection="1">
      <protection hidden="1"/>
    </xf>
    <xf numFmtId="0" fontId="2" fillId="2" borderId="9" xfId="0" applyFont="1" applyFill="1" applyBorder="1" applyAlignment="1">
      <alignment horizontal="left"/>
    </xf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3" fontId="3" fillId="2" borderId="9" xfId="0" applyNumberFormat="1" applyFont="1" applyFill="1" applyBorder="1" applyProtection="1">
      <protection hidden="1"/>
    </xf>
    <xf numFmtId="0" fontId="2" fillId="2" borderId="8" xfId="0" applyFont="1" applyFill="1" applyBorder="1" applyAlignment="1">
      <alignment horizontal="left"/>
    </xf>
    <xf numFmtId="3" fontId="3" fillId="2" borderId="8" xfId="0" applyNumberFormat="1" applyFont="1" applyFill="1" applyBorder="1" applyProtection="1">
      <protection hidden="1"/>
    </xf>
    <xf numFmtId="4" fontId="3" fillId="2" borderId="8" xfId="0" applyNumberFormat="1" applyFont="1" applyFill="1" applyBorder="1" applyProtection="1">
      <protection hidden="1"/>
    </xf>
    <xf numFmtId="4" fontId="3" fillId="2" borderId="2" xfId="0" applyNumberFormat="1" applyFont="1" applyFill="1" applyBorder="1" applyProtection="1">
      <protection hidden="1"/>
    </xf>
    <xf numFmtId="4" fontId="3" fillId="2" borderId="9" xfId="0" applyNumberFormat="1" applyFont="1" applyFill="1" applyBorder="1" applyProtection="1">
      <protection hidden="1"/>
    </xf>
    <xf numFmtId="0" fontId="2" fillId="2" borderId="20" xfId="0" applyFont="1" applyFill="1" applyBorder="1"/>
    <xf numFmtId="0" fontId="3" fillId="2" borderId="18" xfId="0" applyFont="1" applyFill="1" applyBorder="1" applyAlignment="1">
      <alignment horizontal="left"/>
    </xf>
    <xf numFmtId="0" fontId="3" fillId="2" borderId="16" xfId="0" applyFont="1" applyFill="1" applyBorder="1"/>
    <xf numFmtId="0" fontId="3" fillId="2" borderId="18" xfId="0" applyFont="1" applyFill="1" applyBorder="1" applyProtection="1">
      <protection hidden="1"/>
    </xf>
    <xf numFmtId="0" fontId="3" fillId="2" borderId="3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Protection="1">
      <protection hidden="1"/>
    </xf>
    <xf numFmtId="0" fontId="2" fillId="2" borderId="1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3" fillId="2" borderId="5" xfId="0" applyFont="1" applyFill="1" applyBorder="1"/>
    <xf numFmtId="0" fontId="2" fillId="2" borderId="18" xfId="0" applyFont="1" applyFill="1" applyBorder="1"/>
    <xf numFmtId="0" fontId="5" fillId="2" borderId="0" xfId="0" applyFont="1" applyFill="1"/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0" fontId="11" fillId="4" borderId="21" xfId="0" applyFont="1" applyFill="1" applyBorder="1" applyProtection="1">
      <protection hidden="1"/>
    </xf>
    <xf numFmtId="0" fontId="11" fillId="4" borderId="22" xfId="0" applyFont="1" applyFill="1" applyBorder="1" applyProtection="1">
      <protection hidden="1"/>
    </xf>
    <xf numFmtId="0" fontId="11" fillId="4" borderId="23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24" xfId="0" applyFont="1" applyFill="1" applyBorder="1" applyProtection="1">
      <protection hidden="1"/>
    </xf>
    <xf numFmtId="0" fontId="11" fillId="4" borderId="25" xfId="0" applyFont="1" applyFill="1" applyBorder="1" applyProtection="1">
      <protection hidden="1"/>
    </xf>
    <xf numFmtId="0" fontId="11" fillId="4" borderId="25" xfId="0" applyFont="1" applyFill="1" applyBorder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0" fontId="11" fillId="5" borderId="7" xfId="0" applyFont="1" applyFill="1" applyBorder="1" applyProtection="1">
      <protection hidden="1"/>
    </xf>
    <xf numFmtId="3" fontId="11" fillId="4" borderId="22" xfId="0" applyNumberFormat="1" applyFont="1" applyFill="1" applyBorder="1" applyProtection="1">
      <protection hidden="1"/>
    </xf>
    <xf numFmtId="0" fontId="12" fillId="6" borderId="0" xfId="0" applyFont="1" applyFill="1" applyAlignment="1" applyProtection="1">
      <alignment horizontal="centerContinuous"/>
      <protection hidden="1"/>
    </xf>
    <xf numFmtId="0" fontId="13" fillId="6" borderId="0" xfId="0" applyFont="1" applyFill="1" applyAlignment="1" applyProtection="1">
      <alignment horizontal="centerContinuous"/>
      <protection hidden="1"/>
    </xf>
    <xf numFmtId="3" fontId="11" fillId="4" borderId="0" xfId="0" applyNumberFormat="1" applyFont="1" applyFill="1" applyAlignment="1" applyProtection="1">
      <alignment horizontal="center"/>
      <protection hidden="1"/>
    </xf>
    <xf numFmtId="49" fontId="11" fillId="4" borderId="0" xfId="0" applyNumberFormat="1" applyFont="1" applyFill="1" applyProtection="1">
      <protection hidden="1"/>
    </xf>
    <xf numFmtId="3" fontId="11" fillId="4" borderId="0" xfId="0" applyNumberFormat="1" applyFont="1" applyFill="1" applyProtection="1">
      <protection hidden="1"/>
    </xf>
    <xf numFmtId="49" fontId="11" fillId="0" borderId="0" xfId="0" applyNumberFormat="1" applyFont="1" applyProtection="1">
      <protection hidden="1"/>
    </xf>
    <xf numFmtId="3" fontId="11" fillId="4" borderId="25" xfId="0" applyNumberFormat="1" applyFont="1" applyFill="1" applyBorder="1" applyProtection="1">
      <protection hidden="1"/>
    </xf>
    <xf numFmtId="0" fontId="11" fillId="7" borderId="26" xfId="0" applyFont="1" applyFill="1" applyBorder="1" applyProtection="1">
      <protection hidden="1"/>
    </xf>
    <xf numFmtId="0" fontId="11" fillId="8" borderId="26" xfId="0" applyFont="1" applyFill="1" applyBorder="1" applyProtection="1">
      <protection hidden="1"/>
    </xf>
    <xf numFmtId="3" fontId="11" fillId="8" borderId="26" xfId="0" applyNumberFormat="1" applyFont="1" applyFill="1" applyBorder="1" applyProtection="1">
      <protection hidden="1"/>
    </xf>
    <xf numFmtId="3" fontId="11" fillId="8" borderId="27" xfId="0" applyNumberFormat="1" applyFont="1" applyFill="1" applyBorder="1" applyProtection="1">
      <protection hidden="1"/>
    </xf>
    <xf numFmtId="4" fontId="11" fillId="0" borderId="0" xfId="0" applyNumberFormat="1" applyFont="1" applyProtection="1">
      <protection hidden="1"/>
    </xf>
    <xf numFmtId="0" fontId="11" fillId="5" borderId="28" xfId="0" applyFont="1" applyFill="1" applyBorder="1" applyProtection="1">
      <protection hidden="1"/>
    </xf>
    <xf numFmtId="3" fontId="11" fillId="5" borderId="28" xfId="0" applyNumberFormat="1" applyFont="1" applyFill="1" applyBorder="1" applyProtection="1">
      <protection hidden="1"/>
    </xf>
    <xf numFmtId="3" fontId="11" fillId="5" borderId="29" xfId="0" applyNumberFormat="1" applyFont="1" applyFill="1" applyBorder="1" applyProtection="1">
      <protection hidden="1"/>
    </xf>
    <xf numFmtId="0" fontId="11" fillId="7" borderId="30" xfId="0" applyFont="1" applyFill="1" applyBorder="1" applyProtection="1">
      <protection locked="0"/>
    </xf>
    <xf numFmtId="0" fontId="11" fillId="7" borderId="31" xfId="0" applyFont="1" applyFill="1" applyBorder="1" applyProtection="1">
      <protection locked="0"/>
    </xf>
    <xf numFmtId="0" fontId="11" fillId="5" borderId="32" xfId="0" applyFont="1" applyFill="1" applyBorder="1" applyProtection="1">
      <protection locked="0"/>
    </xf>
    <xf numFmtId="0" fontId="11" fillId="5" borderId="33" xfId="0" applyFont="1" applyFill="1" applyBorder="1" applyProtection="1">
      <protection locked="0"/>
    </xf>
    <xf numFmtId="0" fontId="11" fillId="7" borderId="26" xfId="0" applyFont="1" applyFill="1" applyBorder="1" applyProtection="1">
      <protection locked="0"/>
    </xf>
    <xf numFmtId="0" fontId="11" fillId="5" borderId="28" xfId="0" applyFont="1" applyFill="1" applyBorder="1" applyProtection="1">
      <protection locked="0"/>
    </xf>
    <xf numFmtId="3" fontId="11" fillId="7" borderId="26" xfId="0" applyNumberFormat="1" applyFont="1" applyFill="1" applyBorder="1" applyProtection="1">
      <protection locked="0"/>
    </xf>
    <xf numFmtId="3" fontId="11" fillId="5" borderId="28" xfId="0" applyNumberFormat="1" applyFont="1" applyFill="1" applyBorder="1" applyProtection="1">
      <protection locked="0"/>
    </xf>
    <xf numFmtId="14" fontId="11" fillId="4" borderId="0" xfId="0" applyNumberFormat="1" applyFont="1" applyFill="1" applyProtection="1">
      <protection hidden="1"/>
    </xf>
    <xf numFmtId="170" fontId="2" fillId="2" borderId="9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6" xfId="0" applyFont="1" applyFill="1" applyBorder="1"/>
    <xf numFmtId="0" fontId="3" fillId="3" borderId="19" xfId="0" applyFont="1" applyFill="1" applyBorder="1" applyProtection="1">
      <protection locked="0"/>
    </xf>
    <xf numFmtId="0" fontId="5" fillId="2" borderId="3" xfId="0" applyFont="1" applyFill="1" applyBorder="1"/>
    <xf numFmtId="0" fontId="5" fillId="2" borderId="16" xfId="0" applyFont="1" applyFill="1" applyBorder="1"/>
    <xf numFmtId="1" fontId="3" fillId="3" borderId="17" xfId="0" applyNumberFormat="1" applyFont="1" applyFill="1" applyBorder="1" applyProtection="1">
      <protection locked="0"/>
    </xf>
    <xf numFmtId="1" fontId="3" fillId="3" borderId="8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hidden="1"/>
    </xf>
    <xf numFmtId="0" fontId="5" fillId="2" borderId="19" xfId="0" applyFont="1" applyFill="1" applyBorder="1"/>
    <xf numFmtId="170" fontId="11" fillId="4" borderId="0" xfId="0" applyNumberFormat="1" applyFont="1" applyFill="1" applyAlignment="1" applyProtection="1">
      <alignment horizontal="left"/>
      <protection hidden="1"/>
    </xf>
    <xf numFmtId="0" fontId="11" fillId="5" borderId="0" xfId="8" applyFont="1" applyFill="1" applyProtection="1">
      <protection hidden="1"/>
    </xf>
    <xf numFmtId="0" fontId="11" fillId="5" borderId="21" xfId="8" applyFont="1" applyFill="1" applyBorder="1" applyProtection="1">
      <protection hidden="1"/>
    </xf>
    <xf numFmtId="0" fontId="3" fillId="2" borderId="1" xfId="0" applyFont="1" applyFill="1" applyBorder="1"/>
    <xf numFmtId="4" fontId="3" fillId="3" borderId="17" xfId="0" applyNumberFormat="1" applyFont="1" applyFill="1" applyBorder="1" applyProtection="1">
      <protection locked="0"/>
    </xf>
    <xf numFmtId="4" fontId="3" fillId="3" borderId="8" xfId="0" applyNumberFormat="1" applyFont="1" applyFill="1" applyBorder="1" applyProtection="1">
      <protection locked="0"/>
    </xf>
    <xf numFmtId="4" fontId="3" fillId="3" borderId="19" xfId="0" applyNumberFormat="1" applyFont="1" applyFill="1" applyBorder="1" applyProtection="1">
      <protection locked="0"/>
    </xf>
    <xf numFmtId="4" fontId="3" fillId="2" borderId="18" xfId="0" applyNumberFormat="1" applyFont="1" applyFill="1" applyBorder="1" applyProtection="1">
      <protection hidden="1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Protection="1">
      <protection hidden="1"/>
    </xf>
    <xf numFmtId="4" fontId="3" fillId="2" borderId="10" xfId="0" applyNumberFormat="1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locked="0"/>
    </xf>
    <xf numFmtId="4" fontId="3" fillId="2" borderId="4" xfId="0" applyNumberFormat="1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0" fontId="3" fillId="3" borderId="0" xfId="0" applyFont="1" applyFill="1" applyProtection="1"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5" borderId="23" xfId="0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34" xfId="0" applyNumberFormat="1" applyFont="1" applyFill="1" applyBorder="1" applyProtection="1">
      <protection hidden="1"/>
    </xf>
    <xf numFmtId="0" fontId="10" fillId="9" borderId="19" xfId="0" applyFont="1" applyFill="1" applyBorder="1" applyProtection="1">
      <protection hidden="1"/>
    </xf>
    <xf numFmtId="0" fontId="11" fillId="9" borderId="18" xfId="0" applyFont="1" applyFill="1" applyBorder="1" applyProtection="1">
      <protection hidden="1"/>
    </xf>
    <xf numFmtId="0" fontId="11" fillId="5" borderId="19" xfId="0" applyFont="1" applyFill="1" applyBorder="1" applyProtection="1">
      <protection locked="0"/>
    </xf>
    <xf numFmtId="0" fontId="11" fillId="5" borderId="18" xfId="0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4" fontId="3" fillId="2" borderId="0" xfId="0" applyNumberFormat="1" applyFont="1" applyFill="1" applyProtection="1">
      <protection hidden="1"/>
    </xf>
    <xf numFmtId="0" fontId="2" fillId="2" borderId="19" xfId="0" applyFont="1" applyFill="1" applyBorder="1" applyAlignment="1">
      <alignment horizontal="left"/>
    </xf>
    <xf numFmtId="172" fontId="3" fillId="2" borderId="17" xfId="0" applyNumberFormat="1" applyFont="1" applyFill="1" applyBorder="1" applyProtection="1">
      <protection hidden="1"/>
    </xf>
    <xf numFmtId="18" fontId="2" fillId="2" borderId="17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5" fillId="2" borderId="5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1" fillId="5" borderId="0" xfId="0" applyNumberFormat="1" applyFont="1" applyFill="1" applyProtection="1">
      <protection locked="0"/>
    </xf>
    <xf numFmtId="9" fontId="4" fillId="0" borderId="0" xfId="0" applyNumberFormat="1" applyFont="1"/>
    <xf numFmtId="0" fontId="11" fillId="5" borderId="23" xfId="8" applyFont="1" applyFill="1" applyBorder="1" applyProtection="1">
      <protection hidden="1"/>
    </xf>
    <xf numFmtId="0" fontId="11" fillId="5" borderId="7" xfId="8" applyFont="1" applyFill="1" applyBorder="1" applyProtection="1">
      <protection hidden="1"/>
    </xf>
    <xf numFmtId="0" fontId="11" fillId="5" borderId="35" xfId="8" applyFont="1" applyFill="1" applyBorder="1" applyProtection="1">
      <protection hidden="1"/>
    </xf>
    <xf numFmtId="173" fontId="3" fillId="3" borderId="17" xfId="0" applyNumberFormat="1" applyFont="1" applyFill="1" applyBorder="1" applyProtection="1">
      <protection locked="0"/>
    </xf>
    <xf numFmtId="49" fontId="15" fillId="0" borderId="0" xfId="0" applyNumberFormat="1" applyFont="1" applyAlignment="1" applyProtection="1">
      <alignment horizontal="center"/>
      <protection hidden="1"/>
    </xf>
    <xf numFmtId="170" fontId="2" fillId="2" borderId="10" xfId="0" applyNumberFormat="1" applyFont="1" applyFill="1" applyBorder="1" applyAlignment="1" applyProtection="1">
      <alignment horizontal="center"/>
      <protection hidden="1"/>
    </xf>
    <xf numFmtId="170" fontId="2" fillId="2" borderId="9" xfId="0" applyNumberFormat="1" applyFont="1" applyFill="1" applyBorder="1" applyAlignment="1" applyProtection="1">
      <alignment horizontal="center"/>
      <protection hidden="1"/>
    </xf>
    <xf numFmtId="173" fontId="3" fillId="2" borderId="17" xfId="0" applyNumberFormat="1" applyFont="1" applyFill="1" applyBorder="1" applyProtection="1">
      <protection hidden="1"/>
    </xf>
    <xf numFmtId="3" fontId="11" fillId="4" borderId="36" xfId="0" applyNumberFormat="1" applyFont="1" applyFill="1" applyBorder="1" applyProtection="1">
      <protection hidden="1"/>
    </xf>
    <xf numFmtId="3" fontId="11" fillId="4" borderId="37" xfId="0" applyNumberFormat="1" applyFont="1" applyFill="1" applyBorder="1" applyProtection="1">
      <protection hidden="1"/>
    </xf>
    <xf numFmtId="3" fontId="11" fillId="4" borderId="34" xfId="0" applyNumberFormat="1" applyFont="1" applyFill="1" applyBorder="1" applyAlignment="1" applyProtection="1">
      <alignment horizontal="center"/>
      <protection hidden="1"/>
    </xf>
    <xf numFmtId="0" fontId="11" fillId="4" borderId="36" xfId="0" applyFont="1" applyFill="1" applyBorder="1" applyAlignment="1" applyProtection="1">
      <alignment horizontal="center"/>
      <protection hidden="1"/>
    </xf>
    <xf numFmtId="3" fontId="11" fillId="4" borderId="34" xfId="0" applyNumberFormat="1" applyFont="1" applyFill="1" applyBorder="1" applyProtection="1">
      <protection hidden="1"/>
    </xf>
    <xf numFmtId="1" fontId="3" fillId="2" borderId="10" xfId="0" applyNumberFormat="1" applyFont="1" applyFill="1" applyBorder="1" applyProtection="1">
      <protection hidden="1"/>
    </xf>
    <xf numFmtId="4" fontId="3" fillId="2" borderId="3" xfId="0" applyNumberFormat="1" applyFont="1" applyFill="1" applyBorder="1" applyProtection="1">
      <protection hidden="1"/>
    </xf>
    <xf numFmtId="0" fontId="3" fillId="2" borderId="8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wrapText="1"/>
    </xf>
    <xf numFmtId="3" fontId="3" fillId="2" borderId="10" xfId="0" applyNumberFormat="1" applyFont="1" applyFill="1" applyBorder="1" applyProtection="1">
      <protection hidden="1"/>
    </xf>
    <xf numFmtId="4" fontId="3" fillId="2" borderId="16" xfId="0" applyNumberFormat="1" applyFont="1" applyFill="1" applyBorder="1" applyProtection="1">
      <protection hidden="1"/>
    </xf>
    <xf numFmtId="3" fontId="3" fillId="2" borderId="9" xfId="0" applyNumberFormat="1" applyFont="1" applyFill="1" applyBorder="1"/>
    <xf numFmtId="0" fontId="3" fillId="2" borderId="0" xfId="0" applyFont="1" applyFill="1" applyAlignment="1" applyProtection="1">
      <alignment horizontal="center"/>
      <protection locked="0"/>
    </xf>
    <xf numFmtId="4" fontId="3" fillId="2" borderId="1" xfId="0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0" fontId="2" fillId="2" borderId="6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16" xfId="0" applyFont="1" applyFill="1" applyBorder="1"/>
    <xf numFmtId="0" fontId="11" fillId="4" borderId="34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left"/>
      <protection hidden="1"/>
    </xf>
    <xf numFmtId="1" fontId="4" fillId="0" borderId="7" xfId="0" applyNumberFormat="1" applyFont="1" applyBorder="1"/>
    <xf numFmtId="4" fontId="16" fillId="0" borderId="0" xfId="0" applyNumberFormat="1" applyFont="1" applyProtection="1">
      <protection hidden="1"/>
    </xf>
    <xf numFmtId="0" fontId="3" fillId="2" borderId="7" xfId="0" applyFont="1" applyFill="1" applyBorder="1"/>
    <xf numFmtId="0" fontId="11" fillId="5" borderId="38" xfId="0" applyFont="1" applyFill="1" applyBorder="1" applyProtection="1">
      <protection hidden="1"/>
    </xf>
    <xf numFmtId="0" fontId="11" fillId="5" borderId="39" xfId="0" applyFont="1" applyFill="1" applyBorder="1" applyProtection="1">
      <protection hidden="1"/>
    </xf>
    <xf numFmtId="3" fontId="11" fillId="5" borderId="39" xfId="0" applyNumberFormat="1" applyFont="1" applyFill="1" applyBorder="1" applyProtection="1">
      <protection hidden="1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hidden="1"/>
    </xf>
    <xf numFmtId="3" fontId="11" fillId="5" borderId="40" xfId="0" applyNumberFormat="1" applyFont="1" applyFill="1" applyBorder="1" applyProtection="1">
      <protection hidden="1"/>
    </xf>
    <xf numFmtId="171" fontId="4" fillId="0" borderId="0" xfId="0" applyNumberFormat="1" applyFont="1"/>
    <xf numFmtId="170" fontId="4" fillId="0" borderId="0" xfId="0" applyNumberFormat="1" applyFont="1"/>
    <xf numFmtId="169" fontId="3" fillId="2" borderId="0" xfId="0" applyNumberFormat="1" applyFont="1" applyFill="1"/>
    <xf numFmtId="0" fontId="5" fillId="2" borderId="0" xfId="0" quotePrefix="1" applyFont="1" applyFill="1" applyAlignment="1" applyProtection="1">
      <alignment horizontal="left"/>
      <protection hidden="1"/>
    </xf>
    <xf numFmtId="10" fontId="11" fillId="7" borderId="26" xfId="0" applyNumberFormat="1" applyFont="1" applyFill="1" applyBorder="1" applyProtection="1">
      <protection locked="0" hidden="1"/>
    </xf>
    <xf numFmtId="10" fontId="11" fillId="5" borderId="28" xfId="0" applyNumberFormat="1" applyFont="1" applyFill="1" applyBorder="1" applyProtection="1">
      <protection locked="0" hidden="1"/>
    </xf>
    <xf numFmtId="0" fontId="11" fillId="5" borderId="25" xfId="0" applyFont="1" applyFill="1" applyBorder="1" applyProtection="1">
      <protection hidden="1"/>
    </xf>
    <xf numFmtId="0" fontId="11" fillId="5" borderId="35" xfId="0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locked="0"/>
    </xf>
    <xf numFmtId="169" fontId="3" fillId="3" borderId="0" xfId="0" applyNumberFormat="1" applyFont="1" applyFill="1" applyProtection="1">
      <protection locked="0"/>
    </xf>
    <xf numFmtId="0" fontId="2" fillId="2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 indent="2"/>
    </xf>
    <xf numFmtId="3" fontId="11" fillId="10" borderId="7" xfId="0" applyNumberFormat="1" applyFont="1" applyFill="1" applyBorder="1" applyProtection="1">
      <protection locked="0"/>
    </xf>
    <xf numFmtId="3" fontId="11" fillId="10" borderId="41" xfId="0" applyNumberFormat="1" applyFont="1" applyFill="1" applyBorder="1" applyProtection="1">
      <protection locked="0"/>
    </xf>
    <xf numFmtId="4" fontId="3" fillId="2" borderId="4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0" fontId="21" fillId="11" borderId="0" xfId="0" applyFont="1" applyFill="1"/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43" fillId="2" borderId="0" xfId="0" applyFont="1" applyFill="1" applyAlignment="1" applyProtection="1">
      <alignment horizontal="left" indent="1"/>
      <protection locked="0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170" fontId="19" fillId="2" borderId="0" xfId="0" applyNumberFormat="1" applyFont="1" applyFill="1" applyAlignment="1" applyProtection="1">
      <alignment horizontal="center"/>
      <protection hidden="1"/>
    </xf>
    <xf numFmtId="4" fontId="18" fillId="2" borderId="17" xfId="0" applyNumberFormat="1" applyFont="1" applyFill="1" applyBorder="1" applyProtection="1">
      <protection hidden="1"/>
    </xf>
    <xf numFmtId="4" fontId="18" fillId="2" borderId="18" xfId="0" applyNumberFormat="1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9" fillId="2" borderId="5" xfId="0" applyFont="1" applyFill="1" applyBorder="1" applyProtection="1">
      <protection hidden="1"/>
    </xf>
    <xf numFmtId="4" fontId="18" fillId="3" borderId="17" xfId="0" applyNumberFormat="1" applyFont="1" applyFill="1" applyBorder="1" applyProtection="1">
      <protection locked="0"/>
    </xf>
    <xf numFmtId="0" fontId="19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0" xfId="0" applyFont="1" applyFill="1" applyProtection="1">
      <protection hidden="1"/>
    </xf>
    <xf numFmtId="0" fontId="19" fillId="2" borderId="0" xfId="0" applyFont="1" applyFill="1" applyAlignment="1">
      <alignment wrapText="1"/>
    </xf>
    <xf numFmtId="0" fontId="19" fillId="2" borderId="5" xfId="0" applyFont="1" applyFill="1" applyBorder="1" applyAlignment="1">
      <alignment wrapText="1"/>
    </xf>
    <xf numFmtId="4" fontId="18" fillId="2" borderId="0" xfId="0" applyNumberFormat="1" applyFont="1" applyFill="1" applyProtection="1">
      <protection hidden="1"/>
    </xf>
    <xf numFmtId="0" fontId="18" fillId="3" borderId="17" xfId="0" applyFont="1" applyFill="1" applyBorder="1" applyAlignment="1" applyProtection="1">
      <alignment horizontal="center"/>
      <protection locked="0"/>
    </xf>
    <xf numFmtId="0" fontId="18" fillId="3" borderId="17" xfId="0" applyFont="1" applyFill="1" applyBorder="1" applyAlignment="1" applyProtection="1">
      <alignment horizontal="right" indent="1"/>
      <protection locked="0"/>
    </xf>
    <xf numFmtId="0" fontId="18" fillId="2" borderId="2" xfId="0" applyFont="1" applyFill="1" applyBorder="1" applyAlignment="1">
      <alignment horizontal="left" indent="1"/>
    </xf>
    <xf numFmtId="0" fontId="22" fillId="2" borderId="0" xfId="0" applyFont="1" applyFill="1"/>
    <xf numFmtId="0" fontId="19" fillId="2" borderId="2" xfId="0" applyFont="1" applyFill="1" applyBorder="1" applyAlignment="1">
      <alignment horizontal="left"/>
    </xf>
    <xf numFmtId="0" fontId="18" fillId="2" borderId="0" xfId="0" quotePrefix="1" applyFont="1" applyFill="1"/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left" indent="1"/>
    </xf>
    <xf numFmtId="170" fontId="19" fillId="2" borderId="7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>
      <alignment horizontal="center" vertical="justify"/>
    </xf>
    <xf numFmtId="170" fontId="19" fillId="2" borderId="0" xfId="0" applyNumberFormat="1" applyFont="1" applyFill="1" applyAlignment="1" applyProtection="1">
      <alignment horizontal="center" vertical="justify"/>
      <protection hidden="1"/>
    </xf>
    <xf numFmtId="10" fontId="18" fillId="2" borderId="4" xfId="0" applyNumberFormat="1" applyFont="1" applyFill="1" applyBorder="1" applyAlignment="1" applyProtection="1">
      <alignment horizontal="left"/>
      <protection hidden="1"/>
    </xf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 vertical="top"/>
    </xf>
    <xf numFmtId="4" fontId="18" fillId="2" borderId="0" xfId="0" applyNumberFormat="1" applyFont="1" applyFill="1"/>
    <xf numFmtId="3" fontId="18" fillId="2" borderId="5" xfId="0" applyNumberFormat="1" applyFont="1" applyFill="1" applyBorder="1" applyAlignment="1" applyProtection="1">
      <alignment horizontal="center"/>
      <protection hidden="1"/>
    </xf>
    <xf numFmtId="4" fontId="19" fillId="2" borderId="17" xfId="0" applyNumberFormat="1" applyFont="1" applyFill="1" applyBorder="1" applyProtection="1">
      <protection hidden="1"/>
    </xf>
    <xf numFmtId="4" fontId="19" fillId="2" borderId="18" xfId="0" applyNumberFormat="1" applyFont="1" applyFill="1" applyBorder="1" applyProtection="1"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left" indent="1"/>
      <protection hidden="1"/>
    </xf>
    <xf numFmtId="173" fontId="24" fillId="2" borderId="0" xfId="0" applyNumberFormat="1" applyFont="1" applyFill="1" applyAlignment="1" applyProtection="1">
      <alignment horizontal="center" vertical="center"/>
      <protection hidden="1"/>
    </xf>
    <xf numFmtId="173" fontId="18" fillId="2" borderId="0" xfId="0" applyNumberFormat="1" applyFont="1" applyFill="1" applyAlignment="1" applyProtection="1">
      <alignment horizontal="left" vertical="center"/>
      <protection hidden="1"/>
    </xf>
    <xf numFmtId="0" fontId="19" fillId="2" borderId="0" xfId="0" applyFont="1" applyFill="1" applyAlignment="1">
      <alignment horizontal="left" vertical="justify" indent="4"/>
    </xf>
    <xf numFmtId="170" fontId="19" fillId="2" borderId="0" xfId="0" applyNumberFormat="1" applyFont="1" applyFill="1" applyAlignment="1" applyProtection="1">
      <alignment horizontal="left" vertical="justify" indent="4"/>
      <protection hidden="1"/>
    </xf>
    <xf numFmtId="0" fontId="18" fillId="2" borderId="0" xfId="0" applyFont="1" applyFill="1" applyAlignment="1">
      <alignment vertical="center"/>
    </xf>
    <xf numFmtId="0" fontId="18" fillId="2" borderId="2" xfId="0" applyFont="1" applyFill="1" applyBorder="1" applyAlignment="1">
      <alignment vertical="top"/>
    </xf>
    <xf numFmtId="0" fontId="18" fillId="2" borderId="2" xfId="0" applyFont="1" applyFill="1" applyBorder="1" applyAlignment="1">
      <alignment horizontal="left" vertical="top" indent="1"/>
    </xf>
    <xf numFmtId="0" fontId="18" fillId="2" borderId="1" xfId="0" applyFont="1" applyFill="1" applyBorder="1" applyAlignment="1">
      <alignment vertical="center"/>
    </xf>
    <xf numFmtId="172" fontId="18" fillId="2" borderId="0" xfId="0" applyNumberFormat="1" applyFont="1" applyFill="1" applyProtection="1">
      <protection hidden="1"/>
    </xf>
    <xf numFmtId="173" fontId="25" fillId="2" borderId="0" xfId="0" applyNumberFormat="1" applyFont="1" applyFill="1" applyAlignment="1" applyProtection="1">
      <alignment vertical="top" wrapText="1"/>
      <protection hidden="1"/>
    </xf>
    <xf numFmtId="0" fontId="19" fillId="2" borderId="0" xfId="0" applyFont="1" applyFill="1" applyAlignment="1">
      <alignment horizontal="left" indent="1"/>
    </xf>
    <xf numFmtId="0" fontId="19" fillId="2" borderId="0" xfId="0" applyFont="1" applyFill="1" applyAlignment="1" applyProtection="1">
      <alignment horizontal="left" indent="1"/>
      <protection hidden="1"/>
    </xf>
    <xf numFmtId="4" fontId="19" fillId="2" borderId="17" xfId="0" applyNumberFormat="1" applyFont="1" applyFill="1" applyBorder="1"/>
    <xf numFmtId="3" fontId="19" fillId="2" borderId="17" xfId="0" applyNumberFormat="1" applyFont="1" applyFill="1" applyBorder="1" applyAlignment="1" applyProtection="1">
      <alignment horizontal="center"/>
      <protection hidden="1"/>
    </xf>
    <xf numFmtId="3" fontId="18" fillId="2" borderId="0" xfId="0" applyNumberFormat="1" applyFont="1" applyFill="1" applyAlignment="1" applyProtection="1">
      <alignment horizontal="center"/>
      <protection hidden="1"/>
    </xf>
    <xf numFmtId="4" fontId="19" fillId="2" borderId="0" xfId="0" applyNumberFormat="1" applyFont="1" applyFill="1" applyProtection="1">
      <protection hidden="1"/>
    </xf>
    <xf numFmtId="0" fontId="45" fillId="2" borderId="0" xfId="0" applyFont="1" applyFill="1"/>
    <xf numFmtId="0" fontId="43" fillId="2" borderId="0" xfId="0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3" fillId="2" borderId="0" xfId="0" applyFont="1" applyFill="1"/>
    <xf numFmtId="173" fontId="19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43" fillId="2" borderId="0" xfId="0" applyFont="1" applyFill="1"/>
    <xf numFmtId="0" fontId="46" fillId="2" borderId="0" xfId="0" applyFont="1" applyFill="1"/>
    <xf numFmtId="0" fontId="18" fillId="2" borderId="1" xfId="0" applyFont="1" applyFill="1" applyBorder="1"/>
    <xf numFmtId="0" fontId="18" fillId="2" borderId="2" xfId="0" applyFont="1" applyFill="1" applyBorder="1"/>
    <xf numFmtId="0" fontId="18" fillId="2" borderId="3" xfId="0" applyFont="1" applyFill="1" applyBorder="1"/>
    <xf numFmtId="0" fontId="18" fillId="2" borderId="4" xfId="0" applyFont="1" applyFill="1" applyBorder="1"/>
    <xf numFmtId="173" fontId="19" fillId="2" borderId="5" xfId="0" applyNumberFormat="1" applyFont="1" applyFill="1" applyBorder="1" applyAlignment="1" applyProtection="1">
      <alignment horizontal="left" vertical="center" wrapText="1"/>
      <protection hidden="1"/>
    </xf>
    <xf numFmtId="0" fontId="43" fillId="2" borderId="4" xfId="0" applyFont="1" applyFill="1" applyBorder="1" applyAlignment="1">
      <alignment horizontal="center"/>
    </xf>
    <xf numFmtId="173" fontId="25" fillId="2" borderId="5" xfId="0" applyNumberFormat="1" applyFont="1" applyFill="1" applyBorder="1" applyAlignment="1" applyProtection="1">
      <alignment vertical="top" wrapText="1"/>
      <protection hidden="1"/>
    </xf>
    <xf numFmtId="0" fontId="18" fillId="2" borderId="5" xfId="0" applyFont="1" applyFill="1" applyBorder="1"/>
    <xf numFmtId="0" fontId="43" fillId="2" borderId="4" xfId="0" applyFont="1" applyFill="1" applyBorder="1" applyAlignment="1">
      <alignment horizontal="center" vertical="top"/>
    </xf>
    <xf numFmtId="0" fontId="43" fillId="2" borderId="4" xfId="0" applyFont="1" applyFill="1" applyBorder="1"/>
    <xf numFmtId="0" fontId="46" fillId="2" borderId="6" xfId="0" applyFont="1" applyFill="1" applyBorder="1"/>
    <xf numFmtId="0" fontId="46" fillId="2" borderId="16" xfId="0" applyFont="1" applyFill="1" applyBorder="1"/>
    <xf numFmtId="0" fontId="25" fillId="2" borderId="0" xfId="0" applyFont="1" applyFill="1" applyAlignment="1">
      <alignment vertical="top" wrapText="1"/>
    </xf>
    <xf numFmtId="0" fontId="25" fillId="2" borderId="5" xfId="0" applyFont="1" applyFill="1" applyBorder="1" applyAlignment="1">
      <alignment vertical="top" wrapText="1"/>
    </xf>
    <xf numFmtId="0" fontId="18" fillId="12" borderId="20" xfId="0" applyFont="1" applyFill="1" applyBorder="1" applyAlignment="1" applyProtection="1">
      <alignment vertical="center"/>
      <protection locked="0"/>
    </xf>
    <xf numFmtId="173" fontId="18" fillId="2" borderId="5" xfId="0" applyNumberFormat="1" applyFont="1" applyFill="1" applyBorder="1" applyAlignment="1" applyProtection="1">
      <alignment horizontal="left" vertical="center" wrapText="1"/>
      <protection hidden="1"/>
    </xf>
    <xf numFmtId="173" fontId="25" fillId="2" borderId="0" xfId="0" applyNumberFormat="1" applyFont="1" applyFill="1" applyAlignment="1" applyProtection="1">
      <alignment vertical="top"/>
      <protection hidden="1"/>
    </xf>
    <xf numFmtId="173" fontId="19" fillId="2" borderId="0" xfId="0" applyNumberFormat="1" applyFont="1" applyFill="1" applyAlignment="1" applyProtection="1">
      <alignment horizontal="left" vertical="center"/>
      <protection hidden="1"/>
    </xf>
    <xf numFmtId="0" fontId="19" fillId="2" borderId="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6" xfId="0" applyFont="1" applyFill="1" applyBorder="1"/>
    <xf numFmtId="0" fontId="18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16" xfId="0" applyFont="1" applyFill="1" applyBorder="1"/>
    <xf numFmtId="0" fontId="25" fillId="2" borderId="0" xfId="0" applyFont="1" applyFill="1"/>
    <xf numFmtId="4" fontId="26" fillId="2" borderId="0" xfId="0" applyNumberFormat="1" applyFont="1" applyFill="1"/>
    <xf numFmtId="0" fontId="26" fillId="2" borderId="0" xfId="0" applyFont="1" applyFill="1"/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0" applyNumberFormat="1" applyFont="1" applyFill="1"/>
    <xf numFmtId="173" fontId="18" fillId="2" borderId="5" xfId="0" applyNumberFormat="1" applyFont="1" applyFill="1" applyBorder="1" applyAlignment="1" applyProtection="1">
      <alignment horizontal="left" vertical="top" wrapText="1"/>
      <protection hidden="1"/>
    </xf>
    <xf numFmtId="173" fontId="18" fillId="2" borderId="5" xfId="0" applyNumberFormat="1" applyFont="1" applyFill="1" applyBorder="1" applyAlignment="1" applyProtection="1">
      <alignment vertical="center" wrapText="1"/>
      <protection hidden="1"/>
    </xf>
    <xf numFmtId="173" fontId="18" fillId="2" borderId="5" xfId="0" applyNumberFormat="1" applyFont="1" applyFill="1" applyBorder="1" applyAlignment="1" applyProtection="1">
      <alignment vertical="top" wrapText="1"/>
      <protection hidden="1"/>
    </xf>
    <xf numFmtId="173" fontId="25" fillId="2" borderId="0" xfId="0" applyNumberFormat="1" applyFont="1" applyFill="1" applyAlignment="1" applyProtection="1">
      <alignment horizontal="left" vertical="top" wrapText="1"/>
      <protection hidden="1"/>
    </xf>
    <xf numFmtId="0" fontId="18" fillId="2" borderId="2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left"/>
    </xf>
    <xf numFmtId="0" fontId="18" fillId="2" borderId="20" xfId="0" applyFont="1" applyFill="1" applyBorder="1"/>
    <xf numFmtId="0" fontId="18" fillId="2" borderId="20" xfId="0" applyFont="1" applyFill="1" applyBorder="1" applyProtection="1">
      <protection hidden="1"/>
    </xf>
    <xf numFmtId="4" fontId="18" fillId="2" borderId="16" xfId="0" applyNumberFormat="1" applyFont="1" applyFill="1" applyBorder="1"/>
    <xf numFmtId="4" fontId="18" fillId="2" borderId="5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vertical="center"/>
    </xf>
    <xf numFmtId="10" fontId="18" fillId="2" borderId="0" xfId="0" applyNumberFormat="1" applyFont="1" applyFill="1" applyAlignment="1" applyProtection="1">
      <alignment horizontal="left"/>
      <protection hidden="1"/>
    </xf>
    <xf numFmtId="3" fontId="19" fillId="2" borderId="9" xfId="0" applyNumberFormat="1" applyFont="1" applyFill="1" applyBorder="1" applyAlignment="1" applyProtection="1">
      <alignment horizontal="center"/>
      <protection hidden="1"/>
    </xf>
    <xf numFmtId="4" fontId="18" fillId="2" borderId="1" xfId="0" applyNumberFormat="1" applyFont="1" applyFill="1" applyBorder="1" applyAlignment="1">
      <alignment horizontal="center"/>
    </xf>
    <xf numFmtId="170" fontId="19" fillId="2" borderId="0" xfId="0" applyNumberFormat="1" applyFont="1" applyFill="1" applyAlignment="1" applyProtection="1">
      <alignment horizontal="left" vertical="justify" indent="2"/>
      <protection hidden="1"/>
    </xf>
    <xf numFmtId="0" fontId="44" fillId="2" borderId="0" xfId="0" applyFont="1" applyFill="1"/>
    <xf numFmtId="0" fontId="25" fillId="3" borderId="17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left" inden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0" fontId="18" fillId="0" borderId="0" xfId="0" applyNumberFormat="1" applyFont="1" applyAlignment="1">
      <alignment horizontal="left"/>
    </xf>
    <xf numFmtId="10" fontId="18" fillId="0" borderId="0" xfId="0" applyNumberFormat="1" applyFont="1" applyAlignment="1">
      <alignment horizontal="center"/>
    </xf>
    <xf numFmtId="0" fontId="20" fillId="0" borderId="0" xfId="0" applyFont="1"/>
    <xf numFmtId="9" fontId="18" fillId="0" borderId="0" xfId="0" applyNumberFormat="1" applyFont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 wrapText="1"/>
    </xf>
    <xf numFmtId="0" fontId="18" fillId="2" borderId="0" xfId="0" quotePrefix="1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right" vertical="center"/>
    </xf>
    <xf numFmtId="10" fontId="47" fillId="2" borderId="0" xfId="0" applyNumberFormat="1" applyFont="1" applyFill="1" applyAlignment="1" applyProtection="1">
      <alignment horizontal="left"/>
      <protection hidden="1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17" fillId="11" borderId="0" xfId="0" applyFont="1" applyFill="1"/>
    <xf numFmtId="0" fontId="32" fillId="11" borderId="0" xfId="0" applyFont="1" applyFill="1"/>
    <xf numFmtId="4" fontId="17" fillId="11" borderId="0" xfId="0" applyNumberFormat="1" applyFont="1" applyFill="1"/>
    <xf numFmtId="0" fontId="33" fillId="11" borderId="0" xfId="0" applyFont="1" applyFill="1"/>
    <xf numFmtId="37" fontId="17" fillId="11" borderId="0" xfId="6" applyNumberFormat="1" applyFont="1" applyFill="1"/>
    <xf numFmtId="176" fontId="17" fillId="11" borderId="0" xfId="0" applyNumberFormat="1" applyFont="1" applyFill="1"/>
    <xf numFmtId="0" fontId="32" fillId="0" borderId="0" xfId="0" applyFont="1"/>
    <xf numFmtId="0" fontId="43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10" fontId="48" fillId="0" borderId="0" xfId="0" applyNumberFormat="1" applyFont="1" applyAlignment="1">
      <alignment horizontal="lef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0" fontId="18" fillId="0" borderId="0" xfId="0" applyNumberFormat="1" applyFont="1" applyAlignment="1">
      <alignment horizontal="center" vertical="top"/>
    </xf>
    <xf numFmtId="10" fontId="18" fillId="0" borderId="0" xfId="0" applyNumberFormat="1" applyFont="1"/>
    <xf numFmtId="10" fontId="18" fillId="0" borderId="0" xfId="1" applyNumberFormat="1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19" fillId="13" borderId="0" xfId="0" applyFont="1" applyFill="1"/>
    <xf numFmtId="0" fontId="49" fillId="13" borderId="0" xfId="0" applyFont="1" applyFill="1"/>
    <xf numFmtId="0" fontId="19" fillId="13" borderId="0" xfId="0" applyFont="1" applyFill="1" applyAlignment="1">
      <alignment horizontal="left"/>
    </xf>
    <xf numFmtId="0" fontId="19" fillId="13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24" fillId="2" borderId="0" xfId="0" applyFont="1" applyFill="1" applyAlignment="1">
      <alignment horizontal="left" vertical="center"/>
    </xf>
    <xf numFmtId="173" fontId="35" fillId="2" borderId="0" xfId="0" applyNumberFormat="1" applyFont="1" applyFill="1" applyAlignment="1" applyProtection="1">
      <alignment horizontal="left" vertical="center"/>
      <protection hidden="1"/>
    </xf>
    <xf numFmtId="0" fontId="30" fillId="2" borderId="0" xfId="0" applyFont="1" applyFill="1" applyAlignment="1" applyProtection="1">
      <alignment horizontal="right"/>
      <protection hidden="1"/>
    </xf>
    <xf numFmtId="177" fontId="17" fillId="11" borderId="0" xfId="1" applyNumberFormat="1" applyFont="1" applyFill="1" applyBorder="1"/>
    <xf numFmtId="176" fontId="17" fillId="11" borderId="0" xfId="1" applyNumberFormat="1" applyFont="1" applyFill="1" applyBorder="1"/>
    <xf numFmtId="176" fontId="17" fillId="11" borderId="0" xfId="1" applyNumberFormat="1" applyFont="1" applyFill="1" applyBorder="1" applyAlignment="1">
      <alignment horizontal="center"/>
    </xf>
    <xf numFmtId="0" fontId="50" fillId="2" borderId="20" xfId="0" applyFont="1" applyFill="1" applyBorder="1" applyProtection="1">
      <protection hidden="1"/>
    </xf>
    <xf numFmtId="0" fontId="51" fillId="2" borderId="0" xfId="0" applyFont="1" applyFill="1"/>
    <xf numFmtId="0" fontId="44" fillId="2" borderId="0" xfId="0" applyFont="1" applyFill="1" applyAlignment="1">
      <alignment horizontal="left"/>
    </xf>
    <xf numFmtId="0" fontId="23" fillId="2" borderId="0" xfId="0" applyFont="1" applyFill="1" applyAlignment="1">
      <alignment vertical="center"/>
    </xf>
    <xf numFmtId="3" fontId="17" fillId="11" borderId="0" xfId="2" applyNumberFormat="1" applyFont="1" applyFill="1" applyBorder="1" applyAlignment="1">
      <alignment horizontal="center"/>
    </xf>
    <xf numFmtId="3" fontId="41" fillId="11" borderId="0" xfId="5" applyNumberFormat="1" applyFill="1" applyAlignment="1">
      <alignment horizontal="center"/>
    </xf>
    <xf numFmtId="3" fontId="21" fillId="11" borderId="0" xfId="0" applyNumberFormat="1" applyFont="1" applyFill="1"/>
    <xf numFmtId="3" fontId="41" fillId="0" borderId="0" xfId="7" applyNumberFormat="1" applyAlignment="1">
      <alignment horizontal="center"/>
    </xf>
    <xf numFmtId="3" fontId="41" fillId="0" borderId="16" xfId="7" applyNumberFormat="1" applyBorder="1" applyAlignment="1">
      <alignment horizontal="center"/>
    </xf>
    <xf numFmtId="3" fontId="41" fillId="0" borderId="2" xfId="7" applyNumberFormat="1" applyBorder="1" applyAlignment="1">
      <alignment horizontal="center"/>
    </xf>
    <xf numFmtId="3" fontId="37" fillId="0" borderId="0" xfId="7" applyNumberFormat="1" applyFont="1" applyAlignment="1">
      <alignment horizontal="center"/>
    </xf>
    <xf numFmtId="3" fontId="37" fillId="0" borderId="16" xfId="7" applyNumberFormat="1" applyFont="1" applyBorder="1" applyAlignment="1">
      <alignment horizontal="center"/>
    </xf>
    <xf numFmtId="3" fontId="37" fillId="0" borderId="13" xfId="7" applyNumberFormat="1" applyFont="1" applyBorder="1" applyAlignment="1">
      <alignment horizontal="center"/>
    </xf>
    <xf numFmtId="3" fontId="41" fillId="12" borderId="0" xfId="7" applyNumberFormat="1" applyFill="1" applyAlignment="1">
      <alignment horizontal="center"/>
    </xf>
    <xf numFmtId="3" fontId="41" fillId="12" borderId="5" xfId="7" applyNumberFormat="1" applyFill="1" applyBorder="1" applyAlignment="1">
      <alignment horizontal="center"/>
    </xf>
    <xf numFmtId="3" fontId="41" fillId="12" borderId="16" xfId="7" applyNumberFormat="1" applyFill="1" applyBorder="1" applyAlignment="1">
      <alignment horizontal="center"/>
    </xf>
    <xf numFmtId="3" fontId="52" fillId="12" borderId="5" xfId="7" applyNumberFormat="1" applyFont="1" applyFill="1" applyBorder="1" applyAlignment="1">
      <alignment horizontal="center"/>
    </xf>
    <xf numFmtId="3" fontId="52" fillId="12" borderId="16" xfId="7" applyNumberFormat="1" applyFont="1" applyFill="1" applyBorder="1" applyAlignment="1">
      <alignment horizontal="center"/>
    </xf>
    <xf numFmtId="3" fontId="52" fillId="12" borderId="13" xfId="7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14" fontId="39" fillId="14" borderId="0" xfId="0" applyNumberFormat="1" applyFont="1" applyFill="1" applyAlignment="1">
      <alignment horizontal="right"/>
    </xf>
    <xf numFmtId="0" fontId="39" fillId="14" borderId="0" xfId="0" applyFont="1" applyFill="1"/>
    <xf numFmtId="14" fontId="39" fillId="0" borderId="0" xfId="0" applyNumberFormat="1" applyFont="1" applyAlignment="1">
      <alignment horizontal="right"/>
    </xf>
    <xf numFmtId="167" fontId="39" fillId="14" borderId="42" xfId="0" applyNumberFormat="1" applyFont="1" applyFill="1" applyBorder="1" applyAlignment="1">
      <alignment horizontal="right" wrapText="1"/>
    </xf>
    <xf numFmtId="170" fontId="39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39" fillId="14" borderId="0" xfId="0" applyNumberFormat="1" applyFont="1" applyFill="1" applyAlignment="1">
      <alignment horizontal="right"/>
    </xf>
    <xf numFmtId="174" fontId="39" fillId="0" borderId="0" xfId="9" applyNumberFormat="1" applyFont="1" applyBorder="1"/>
    <xf numFmtId="167" fontId="39" fillId="0" borderId="0" xfId="0" applyNumberFormat="1" applyFont="1"/>
    <xf numFmtId="0" fontId="39" fillId="0" borderId="0" xfId="0" applyFont="1" applyAlignment="1">
      <alignment wrapText="1"/>
    </xf>
    <xf numFmtId="4" fontId="39" fillId="0" borderId="0" xfId="0" applyNumberFormat="1" applyFont="1"/>
    <xf numFmtId="3" fontId="17" fillId="12" borderId="0" xfId="3" applyNumberFormat="1" applyFont="1" applyFill="1" applyBorder="1" applyAlignment="1">
      <alignment horizontal="right" indent="1"/>
    </xf>
    <xf numFmtId="3" fontId="17" fillId="12" borderId="7" xfId="3" applyNumberFormat="1" applyFont="1" applyFill="1" applyBorder="1" applyAlignment="1">
      <alignment horizontal="right" indent="1"/>
    </xf>
    <xf numFmtId="3" fontId="37" fillId="12" borderId="0" xfId="7" applyNumberFormat="1" applyFont="1" applyFill="1" applyAlignment="1">
      <alignment horizontal="center"/>
    </xf>
    <xf numFmtId="3" fontId="37" fillId="12" borderId="43" xfId="7" applyNumberFormat="1" applyFont="1" applyFill="1" applyBorder="1" applyAlignment="1">
      <alignment horizontal="center"/>
    </xf>
    <xf numFmtId="0" fontId="33" fillId="2" borderId="0" xfId="0" applyFont="1" applyFill="1"/>
    <xf numFmtId="0" fontId="17" fillId="2" borderId="0" xfId="0" applyFont="1" applyFill="1"/>
    <xf numFmtId="0" fontId="17" fillId="2" borderId="0" xfId="0" applyFont="1" applyFill="1" applyProtection="1">
      <protection hidden="1"/>
    </xf>
    <xf numFmtId="0" fontId="17" fillId="2" borderId="17" xfId="0" applyFont="1" applyFill="1" applyBorder="1"/>
    <xf numFmtId="0" fontId="17" fillId="2" borderId="17" xfId="0" applyFont="1" applyFill="1" applyBorder="1" applyAlignment="1">
      <alignment horizontal="right"/>
    </xf>
    <xf numFmtId="1" fontId="17" fillId="3" borderId="17" xfId="0" applyNumberFormat="1" applyFont="1" applyFill="1" applyBorder="1" applyProtection="1">
      <protection locked="0"/>
    </xf>
    <xf numFmtId="0" fontId="33" fillId="2" borderId="4" xfId="0" applyFont="1" applyFill="1" applyBorder="1" applyAlignment="1">
      <alignment horizontal="left" indent="1"/>
    </xf>
    <xf numFmtId="0" fontId="33" fillId="2" borderId="1" xfId="0" applyFont="1" applyFill="1" applyBorder="1"/>
    <xf numFmtId="0" fontId="17" fillId="2" borderId="17" xfId="0" applyFont="1" applyFill="1" applyBorder="1" applyProtection="1">
      <protection hidden="1"/>
    </xf>
    <xf numFmtId="4" fontId="17" fillId="2" borderId="17" xfId="0" applyNumberFormat="1" applyFont="1" applyFill="1" applyBorder="1" applyProtection="1">
      <protection hidden="1"/>
    </xf>
    <xf numFmtId="4" fontId="17" fillId="3" borderId="17" xfId="0" applyNumberFormat="1" applyFont="1" applyFill="1" applyBorder="1" applyProtection="1">
      <protection locked="0"/>
    </xf>
    <xf numFmtId="175" fontId="17" fillId="2" borderId="17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17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/>
    <xf numFmtId="174" fontId="17" fillId="2" borderId="0" xfId="0" applyNumberFormat="1" applyFont="1" applyFill="1"/>
    <xf numFmtId="169" fontId="17" fillId="2" borderId="0" xfId="0" applyNumberFormat="1" applyFont="1" applyFill="1"/>
    <xf numFmtId="0" fontId="18" fillId="12" borderId="19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horizontal="right" vertical="top"/>
    </xf>
    <xf numFmtId="0" fontId="18" fillId="2" borderId="0" xfId="0" applyFont="1" applyFill="1" applyAlignment="1">
      <alignment horizontal="left" vertical="top" indent="1"/>
    </xf>
    <xf numFmtId="173" fontId="29" fillId="2" borderId="0" xfId="0" applyNumberFormat="1" applyFont="1" applyFill="1" applyAlignment="1" applyProtection="1">
      <alignment horizontal="left" vertical="center"/>
      <protection hidden="1"/>
    </xf>
    <xf numFmtId="0" fontId="19" fillId="2" borderId="5" xfId="0" applyFont="1" applyFill="1" applyBorder="1" applyAlignment="1">
      <alignment horizontal="left"/>
    </xf>
    <xf numFmtId="1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9" fillId="2" borderId="5" xfId="0" applyFont="1" applyFill="1" applyBorder="1" applyProtection="1">
      <protection locked="0" hidden="1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9" fillId="2" borderId="5" xfId="0" applyFont="1" applyFill="1" applyBorder="1" applyProtection="1">
      <protection locked="0"/>
    </xf>
    <xf numFmtId="0" fontId="47" fillId="2" borderId="0" xfId="0" applyFont="1" applyFill="1" applyAlignment="1" applyProtection="1">
      <alignment horizontal="left"/>
      <protection hidden="1"/>
    </xf>
    <xf numFmtId="0" fontId="47" fillId="2" borderId="0" xfId="0" applyFont="1" applyFill="1" applyProtection="1">
      <protection hidden="1"/>
    </xf>
    <xf numFmtId="0" fontId="51" fillId="2" borderId="0" xfId="0" applyFont="1" applyFill="1" applyAlignment="1" applyProtection="1">
      <alignment horizontal="left"/>
      <protection hidden="1"/>
    </xf>
    <xf numFmtId="0" fontId="51" fillId="2" borderId="0" xfId="0" applyFont="1" applyFill="1" applyProtection="1">
      <protection hidden="1"/>
    </xf>
    <xf numFmtId="0" fontId="18" fillId="2" borderId="0" xfId="0" applyFont="1" applyFill="1" applyAlignment="1" applyProtection="1">
      <alignment horizontal="left"/>
      <protection hidden="1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44" fillId="2" borderId="0" xfId="0" applyFont="1" applyFill="1" applyAlignment="1">
      <alignment horizontal="left" indent="1"/>
    </xf>
    <xf numFmtId="0" fontId="18" fillId="3" borderId="0" xfId="0" applyFont="1" applyFill="1" applyAlignment="1" applyProtection="1">
      <alignment horizontal="left" indent="1"/>
      <protection locked="0"/>
    </xf>
    <xf numFmtId="1" fontId="18" fillId="2" borderId="0" xfId="0" applyNumberFormat="1" applyFont="1" applyFill="1" applyAlignment="1" applyProtection="1">
      <alignment horizontal="left" vertical="center"/>
      <protection locked="0"/>
    </xf>
    <xf numFmtId="4" fontId="55" fillId="16" borderId="0" xfId="0" applyNumberFormat="1" applyFont="1" applyFill="1" applyAlignment="1" applyProtection="1">
      <alignment horizontal="center"/>
      <protection hidden="1"/>
    </xf>
    <xf numFmtId="0" fontId="18" fillId="16" borderId="0" xfId="0" applyFont="1" applyFill="1"/>
    <xf numFmtId="0" fontId="19" fillId="16" borderId="0" xfId="0" applyFont="1" applyFill="1"/>
    <xf numFmtId="4" fontId="18" fillId="16" borderId="0" xfId="0" applyNumberFormat="1" applyFont="1" applyFill="1" applyProtection="1">
      <protection hidden="1"/>
    </xf>
    <xf numFmtId="4" fontId="55" fillId="0" borderId="0" xfId="0" applyNumberFormat="1" applyFont="1" applyAlignment="1" applyProtection="1">
      <alignment horizontal="center"/>
      <protection locked="0" hidden="1"/>
    </xf>
    <xf numFmtId="0" fontId="32" fillId="2" borderId="0" xfId="0" applyFont="1" applyFill="1" applyAlignment="1">
      <alignment horizontal="left" textRotation="180"/>
    </xf>
    <xf numFmtId="170" fontId="19" fillId="2" borderId="0" xfId="0" applyNumberFormat="1" applyFont="1" applyFill="1" applyAlignment="1">
      <alignment horizontal="left" vertical="justify" indent="4"/>
    </xf>
    <xf numFmtId="170" fontId="19" fillId="2" borderId="0" xfId="0" applyNumberFormat="1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left" vertical="center"/>
    </xf>
    <xf numFmtId="0" fontId="43" fillId="2" borderId="0" xfId="0" applyFont="1" applyFill="1" applyAlignment="1">
      <alignment vertical="top"/>
    </xf>
    <xf numFmtId="170" fontId="19" fillId="2" borderId="0" xfId="0" applyNumberFormat="1" applyFont="1" applyFill="1" applyAlignment="1">
      <alignment horizontal="center" vertical="justify"/>
    </xf>
    <xf numFmtId="170" fontId="19" fillId="2" borderId="7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left" indent="1"/>
    </xf>
    <xf numFmtId="172" fontId="18" fillId="2" borderId="0" xfId="0" applyNumberFormat="1" applyFont="1" applyFill="1"/>
    <xf numFmtId="173" fontId="25" fillId="2" borderId="0" xfId="0" applyNumberFormat="1" applyFont="1" applyFill="1" applyAlignment="1">
      <alignment vertical="top"/>
    </xf>
    <xf numFmtId="173" fontId="19" fillId="2" borderId="0" xfId="0" applyNumberFormat="1" applyFont="1" applyFill="1" applyAlignment="1">
      <alignment horizontal="left" vertical="center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3" fontId="17" fillId="14" borderId="0" xfId="3" applyNumberFormat="1" applyFont="1" applyFill="1" applyBorder="1" applyAlignment="1">
      <alignment horizontal="right" indent="1"/>
    </xf>
    <xf numFmtId="1" fontId="18" fillId="12" borderId="2" xfId="0" applyNumberFormat="1" applyFont="1" applyFill="1" applyBorder="1" applyAlignment="1" applyProtection="1">
      <alignment horizontal="left" vertical="center"/>
      <protection locked="0"/>
    </xf>
    <xf numFmtId="1" fontId="18" fillId="12" borderId="17" xfId="0" applyNumberFormat="1" applyFont="1" applyFill="1" applyBorder="1" applyAlignment="1" applyProtection="1">
      <alignment horizontal="left" vertical="center"/>
      <protection locked="0"/>
    </xf>
    <xf numFmtId="176" fontId="17" fillId="14" borderId="0" xfId="0" applyNumberFormat="1" applyFont="1" applyFill="1"/>
    <xf numFmtId="4" fontId="17" fillId="14" borderId="0" xfId="0" applyNumberFormat="1" applyFont="1" applyFill="1"/>
    <xf numFmtId="3" fontId="17" fillId="14" borderId="0" xfId="1" applyNumberFormat="1" applyFont="1" applyFill="1" applyBorder="1" applyAlignment="1">
      <alignment horizontal="center"/>
    </xf>
    <xf numFmtId="3" fontId="17" fillId="14" borderId="0" xfId="2" applyNumberFormat="1" applyFont="1" applyFill="1" applyBorder="1" applyAlignment="1">
      <alignment horizontal="center"/>
    </xf>
    <xf numFmtId="4" fontId="17" fillId="0" borderId="0" xfId="0" applyNumberFormat="1" applyFont="1"/>
    <xf numFmtId="176" fontId="17" fillId="11" borderId="23" xfId="20" applyNumberFormat="1" applyFill="1" applyBorder="1"/>
    <xf numFmtId="176" fontId="17" fillId="0" borderId="0" xfId="0" applyNumberFormat="1" applyFont="1"/>
    <xf numFmtId="176" fontId="17" fillId="11" borderId="21" xfId="20" applyNumberFormat="1" applyFill="1" applyBorder="1"/>
    <xf numFmtId="176" fontId="17" fillId="14" borderId="34" xfId="22" applyNumberFormat="1" applyFill="1" applyBorder="1"/>
    <xf numFmtId="176" fontId="17" fillId="14" borderId="36" xfId="22" applyNumberFormat="1" applyFill="1" applyBorder="1"/>
    <xf numFmtId="176" fontId="17" fillId="14" borderId="41" xfId="22" applyNumberFormat="1" applyFill="1" applyBorder="1"/>
    <xf numFmtId="176" fontId="17" fillId="0" borderId="0" xfId="1" applyNumberFormat="1" applyFont="1" applyFill="1" applyBorder="1"/>
    <xf numFmtId="176" fontId="17" fillId="17" borderId="0" xfId="1" applyNumberFormat="1" applyFont="1" applyFill="1" applyBorder="1"/>
    <xf numFmtId="0" fontId="19" fillId="0" borderId="0" xfId="0" applyFont="1" applyAlignment="1">
      <alignment horizontal="center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54" fillId="2" borderId="0" xfId="0" applyFont="1" applyFill="1" applyAlignment="1">
      <alignment horizontal="center" vertical="center" wrapText="1"/>
    </xf>
    <xf numFmtId="14" fontId="18" fillId="3" borderId="0" xfId="0" applyNumberFormat="1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wrapText="1"/>
    </xf>
    <xf numFmtId="0" fontId="57" fillId="2" borderId="0" xfId="0" applyFont="1" applyFill="1"/>
    <xf numFmtId="176" fontId="17" fillId="0" borderId="37" xfId="22" applyNumberFormat="1" applyBorder="1" applyAlignment="1">
      <alignment horizontal="centerContinuous"/>
    </xf>
    <xf numFmtId="176" fontId="17" fillId="0" borderId="34" xfId="22" applyNumberFormat="1" applyBorder="1" applyAlignment="1">
      <alignment horizontal="centerContinuous"/>
    </xf>
    <xf numFmtId="176" fontId="17" fillId="0" borderId="41" xfId="22" applyNumberFormat="1" applyBorder="1" applyAlignment="1">
      <alignment horizontal="centerContinuous"/>
    </xf>
    <xf numFmtId="176" fontId="17" fillId="0" borderId="36" xfId="22" applyNumberFormat="1" applyBorder="1" applyAlignment="1">
      <alignment horizontal="centerContinuous"/>
    </xf>
    <xf numFmtId="173" fontId="3" fillId="3" borderId="20" xfId="0" applyNumberFormat="1" applyFont="1" applyFill="1" applyBorder="1" applyProtection="1">
      <protection locked="0"/>
    </xf>
    <xf numFmtId="173" fontId="3" fillId="3" borderId="18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3" fillId="3" borderId="20" xfId="0" applyNumberFormat="1" applyFont="1" applyFill="1" applyBorder="1" applyProtection="1">
      <protection locked="0"/>
    </xf>
    <xf numFmtId="49" fontId="3" fillId="3" borderId="18" xfId="0" applyNumberFormat="1" applyFont="1" applyFill="1" applyBorder="1" applyProtection="1">
      <protection locked="0"/>
    </xf>
    <xf numFmtId="10" fontId="2" fillId="2" borderId="19" xfId="0" applyNumberFormat="1" applyFont="1" applyFill="1" applyBorder="1" applyAlignment="1" applyProtection="1">
      <alignment horizontal="left"/>
      <protection hidden="1"/>
    </xf>
    <xf numFmtId="10" fontId="0" fillId="0" borderId="20" xfId="0" applyNumberFormat="1" applyBorder="1" applyAlignment="1" applyProtection="1">
      <alignment horizontal="left"/>
      <protection hidden="1"/>
    </xf>
    <xf numFmtId="0" fontId="3" fillId="3" borderId="20" xfId="0" applyFont="1" applyFill="1" applyBorder="1" applyAlignment="1" applyProtection="1">
      <alignment horizontal="left"/>
      <protection locked="0"/>
    </xf>
    <xf numFmtId="0" fontId="0" fillId="0" borderId="18" xfId="0" applyBorder="1" applyAlignment="1">
      <alignment horizontal="left"/>
    </xf>
    <xf numFmtId="173" fontId="3" fillId="3" borderId="19" xfId="0" applyNumberFormat="1" applyFont="1" applyFill="1" applyBorder="1" applyProtection="1">
      <protection locked="0"/>
    </xf>
    <xf numFmtId="173" fontId="3" fillId="2" borderId="20" xfId="0" applyNumberFormat="1" applyFont="1" applyFill="1" applyBorder="1" applyProtection="1">
      <protection hidden="1"/>
    </xf>
    <xf numFmtId="173" fontId="3" fillId="2" borderId="18" xfId="0" applyNumberFormat="1" applyFont="1" applyFill="1" applyBorder="1" applyProtection="1">
      <protection hidden="1"/>
    </xf>
    <xf numFmtId="0" fontId="3" fillId="3" borderId="19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16" xfId="0" applyBorder="1" applyProtection="1">
      <protection locked="0"/>
    </xf>
    <xf numFmtId="0" fontId="2" fillId="2" borderId="19" xfId="0" applyFont="1" applyFill="1" applyBorder="1" applyAlignment="1">
      <alignment horizontal="left"/>
    </xf>
    <xf numFmtId="0" fontId="0" fillId="0" borderId="20" xfId="0" applyBorder="1"/>
    <xf numFmtId="0" fontId="0" fillId="0" borderId="18" xfId="0" applyBorder="1"/>
    <xf numFmtId="0" fontId="2" fillId="2" borderId="0" xfId="0" applyFont="1" applyFill="1" applyAlignment="1">
      <alignment horizontal="center"/>
    </xf>
    <xf numFmtId="0" fontId="3" fillId="3" borderId="17" xfId="0" applyFont="1" applyFill="1" applyBorder="1" applyProtection="1">
      <protection locked="0"/>
    </xf>
    <xf numFmtId="49" fontId="3" fillId="3" borderId="17" xfId="0" applyNumberFormat="1" applyFont="1" applyFill="1" applyBorder="1" applyProtection="1">
      <protection locked="0"/>
    </xf>
    <xf numFmtId="173" fontId="3" fillId="2" borderId="17" xfId="0" applyNumberFormat="1" applyFont="1" applyFill="1" applyBorder="1" applyProtection="1">
      <protection hidden="1"/>
    </xf>
    <xf numFmtId="0" fontId="0" fillId="0" borderId="20" xfId="0" applyBorder="1" applyProtection="1">
      <protection locked="0"/>
    </xf>
    <xf numFmtId="0" fontId="0" fillId="0" borderId="18" xfId="0" applyBorder="1" applyProtection="1">
      <protection locked="0"/>
    </xf>
    <xf numFmtId="0" fontId="3" fillId="3" borderId="20" xfId="0" applyFont="1" applyFill="1" applyBorder="1" applyProtection="1">
      <protection locked="0"/>
    </xf>
    <xf numFmtId="169" fontId="10" fillId="0" borderId="0" xfId="0" applyNumberFormat="1" applyFont="1" applyAlignment="1" applyProtection="1">
      <alignment horizontal="right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8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54" fillId="2" borderId="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55" fillId="2" borderId="2" xfId="0" applyFont="1" applyFill="1" applyBorder="1" applyAlignment="1">
      <alignment horizontal="center" vertical="top" wrapText="1"/>
    </xf>
    <xf numFmtId="0" fontId="54" fillId="2" borderId="1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54" fillId="2" borderId="3" xfId="0" applyFont="1" applyFill="1" applyBorder="1" applyAlignment="1">
      <alignment horizontal="center" wrapText="1"/>
    </xf>
    <xf numFmtId="0" fontId="54" fillId="2" borderId="4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0" fontId="54" fillId="2" borderId="5" xfId="0" applyFont="1" applyFill="1" applyBorder="1" applyAlignment="1">
      <alignment horizontal="center" wrapText="1"/>
    </xf>
    <xf numFmtId="0" fontId="55" fillId="2" borderId="0" xfId="0" applyFont="1" applyFill="1" applyAlignment="1">
      <alignment horizontal="center" vertical="top" wrapText="1"/>
    </xf>
    <xf numFmtId="0" fontId="49" fillId="2" borderId="2" xfId="0" applyFont="1" applyFill="1" applyBorder="1" applyAlignment="1">
      <alignment horizontal="left"/>
    </xf>
    <xf numFmtId="0" fontId="62" fillId="0" borderId="2" xfId="0" applyFont="1" applyBorder="1"/>
    <xf numFmtId="0" fontId="49" fillId="2" borderId="7" xfId="0" applyFont="1" applyFill="1" applyBorder="1" applyAlignment="1">
      <alignment horizontal="left"/>
    </xf>
    <xf numFmtId="0" fontId="62" fillId="0" borderId="7" xfId="0" applyFont="1" applyBorder="1"/>
    <xf numFmtId="0" fontId="19" fillId="2" borderId="0" xfId="0" applyFont="1" applyFill="1" applyAlignment="1">
      <alignment horizontal="left"/>
    </xf>
    <xf numFmtId="4" fontId="18" fillId="12" borderId="20" xfId="0" applyNumberFormat="1" applyFont="1" applyFill="1" applyBorder="1" applyAlignment="1" applyProtection="1">
      <alignment horizontal="left" vertical="center"/>
      <protection locked="0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25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 wrapText="1"/>
    </xf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1" applyNumberFormat="1" applyFont="1" applyFill="1" applyBorder="1" applyAlignment="1" applyProtection="1">
      <alignment horizontal="right"/>
    </xf>
    <xf numFmtId="0" fontId="53" fillId="2" borderId="0" xfId="0" applyFont="1" applyFill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/>
    </xf>
    <xf numFmtId="0" fontId="18" fillId="12" borderId="20" xfId="0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46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73" fontId="30" fillId="2" borderId="0" xfId="0" applyNumberFormat="1" applyFont="1" applyFill="1" applyAlignment="1" applyProtection="1">
      <alignment horizontal="left" vertical="top"/>
      <protection hidden="1"/>
    </xf>
    <xf numFmtId="0" fontId="31" fillId="0" borderId="0" xfId="0" applyFont="1" applyAlignment="1">
      <alignment horizontal="left" vertical="top"/>
    </xf>
    <xf numFmtId="0" fontId="45" fillId="2" borderId="0" xfId="0" applyFont="1" applyFill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14" fontId="18" fillId="3" borderId="19" xfId="0" applyNumberFormat="1" applyFont="1" applyFill="1" applyBorder="1" applyAlignment="1" applyProtection="1">
      <alignment horizontal="center"/>
      <protection locked="0"/>
    </xf>
    <xf numFmtId="14" fontId="18" fillId="3" borderId="20" xfId="0" applyNumberFormat="1" applyFont="1" applyFill="1" applyBorder="1" applyAlignment="1" applyProtection="1">
      <alignment horizontal="center"/>
      <protection locked="0"/>
    </xf>
    <xf numFmtId="14" fontId="18" fillId="3" borderId="18" xfId="0" applyNumberFormat="1" applyFont="1" applyFill="1" applyBorder="1" applyAlignment="1" applyProtection="1">
      <alignment horizontal="center"/>
      <protection locked="0"/>
    </xf>
    <xf numFmtId="49" fontId="18" fillId="3" borderId="19" xfId="0" applyNumberFormat="1" applyFont="1" applyFill="1" applyBorder="1" applyAlignment="1" applyProtection="1">
      <alignment horizontal="left" indent="1"/>
      <protection locked="0"/>
    </xf>
    <xf numFmtId="49" fontId="18" fillId="3" borderId="20" xfId="0" applyNumberFormat="1" applyFont="1" applyFill="1" applyBorder="1" applyAlignment="1" applyProtection="1">
      <alignment horizontal="left" indent="1"/>
      <protection locked="0"/>
    </xf>
    <xf numFmtId="49" fontId="18" fillId="3" borderId="18" xfId="0" applyNumberFormat="1" applyFont="1" applyFill="1" applyBorder="1" applyAlignment="1" applyProtection="1">
      <alignment horizontal="left" indent="1"/>
      <protection locked="0"/>
    </xf>
    <xf numFmtId="0" fontId="43" fillId="2" borderId="0" xfId="0" applyFont="1" applyFill="1" applyAlignment="1">
      <alignment horizontal="left"/>
    </xf>
    <xf numFmtId="0" fontId="19" fillId="15" borderId="19" xfId="0" applyFont="1" applyFill="1" applyBorder="1" applyAlignment="1" applyProtection="1">
      <alignment horizontal="center" vertical="center"/>
      <protection locked="0"/>
    </xf>
    <xf numFmtId="0" fontId="19" fillId="15" borderId="20" xfId="0" applyFont="1" applyFill="1" applyBorder="1" applyAlignment="1" applyProtection="1">
      <alignment horizontal="center" vertical="center"/>
      <protection locked="0"/>
    </xf>
    <xf numFmtId="0" fontId="19" fillId="15" borderId="18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left"/>
      <protection hidden="1"/>
    </xf>
    <xf numFmtId="0" fontId="43" fillId="2" borderId="0" xfId="0" applyFont="1" applyFill="1" applyAlignment="1">
      <alignment horizontal="left" vertical="top"/>
    </xf>
    <xf numFmtId="173" fontId="30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32" fillId="2" borderId="0" xfId="0" applyFont="1" applyFill="1" applyAlignment="1">
      <alignment horizontal="left" textRotation="180" wrapText="1"/>
    </xf>
    <xf numFmtId="0" fontId="32" fillId="0" borderId="0" xfId="0" applyFont="1" applyAlignment="1">
      <alignment textRotation="180" wrapText="1"/>
    </xf>
    <xf numFmtId="173" fontId="18" fillId="2" borderId="0" xfId="0" applyNumberFormat="1" applyFont="1" applyFill="1" applyAlignment="1" applyProtection="1">
      <alignment horizontal="left" vertical="center" wrapText="1"/>
      <protection hidden="1"/>
    </xf>
    <xf numFmtId="4" fontId="58" fillId="2" borderId="4" xfId="0" applyNumberFormat="1" applyFont="1" applyFill="1" applyBorder="1" applyAlignment="1" applyProtection="1">
      <alignment horizontal="center" wrapText="1"/>
      <protection hidden="1"/>
    </xf>
    <xf numFmtId="0" fontId="58" fillId="0" borderId="0" xfId="0" applyFont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18" fillId="12" borderId="20" xfId="0" applyFont="1" applyFill="1" applyBorder="1" applyAlignment="1" applyProtection="1">
      <alignment horizontal="left"/>
      <protection locked="0"/>
    </xf>
    <xf numFmtId="0" fontId="18" fillId="12" borderId="18" xfId="0" applyFont="1" applyFill="1" applyBorder="1" applyAlignment="1" applyProtection="1">
      <alignment horizontal="left"/>
      <protection locked="0"/>
    </xf>
    <xf numFmtId="0" fontId="3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7" fillId="2" borderId="0" xfId="0" applyFont="1" applyFill="1" applyAlignment="1">
      <alignment horizontal="right" vertical="top" wrapText="1"/>
    </xf>
    <xf numFmtId="0" fontId="18" fillId="12" borderId="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8" fillId="12" borderId="20" xfId="0" applyFont="1" applyFill="1" applyBorder="1" applyAlignment="1" applyProtection="1">
      <alignment horizontal="left" vertical="center"/>
      <protection locked="0"/>
    </xf>
    <xf numFmtId="0" fontId="18" fillId="12" borderId="18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left" vertical="top" indent="1"/>
    </xf>
    <xf numFmtId="0" fontId="19" fillId="2" borderId="0" xfId="0" applyFont="1" applyFill="1" applyAlignment="1">
      <alignment textRotation="180" wrapText="1"/>
    </xf>
    <xf numFmtId="0" fontId="0" fillId="0" borderId="0" xfId="0" applyAlignment="1">
      <alignment textRotation="180" wrapText="1"/>
    </xf>
    <xf numFmtId="0" fontId="27" fillId="2" borderId="2" xfId="0" applyFont="1" applyFill="1" applyBorder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0" fillId="0" borderId="18" xfId="0" applyBorder="1" applyAlignment="1">
      <alignment vertical="center"/>
    </xf>
    <xf numFmtId="0" fontId="18" fillId="12" borderId="19" xfId="0" applyFont="1" applyFill="1" applyBorder="1" applyAlignment="1" applyProtection="1">
      <alignment vertical="center"/>
      <protection locked="0"/>
    </xf>
    <xf numFmtId="0" fontId="44" fillId="2" borderId="0" xfId="0" applyFont="1" applyFill="1" applyAlignment="1">
      <alignment horizontal="left" indent="1"/>
    </xf>
    <xf numFmtId="0" fontId="19" fillId="15" borderId="19" xfId="0" applyFont="1" applyFill="1" applyBorder="1" applyAlignment="1" applyProtection="1">
      <alignment horizontal="center"/>
      <protection locked="0"/>
    </xf>
    <xf numFmtId="0" fontId="19" fillId="15" borderId="20" xfId="0" applyFont="1" applyFill="1" applyBorder="1" applyAlignment="1" applyProtection="1">
      <alignment horizontal="center"/>
      <protection locked="0"/>
    </xf>
    <xf numFmtId="0" fontId="19" fillId="15" borderId="18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right" vertical="center"/>
    </xf>
    <xf numFmtId="0" fontId="23" fillId="2" borderId="7" xfId="0" applyFont="1" applyFill="1" applyBorder="1" applyAlignment="1">
      <alignment horizontal="right" vertical="center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19" fillId="2" borderId="5" xfId="0" applyFont="1" applyFill="1" applyBorder="1" applyAlignment="1">
      <alignment horizontal="left"/>
    </xf>
    <xf numFmtId="0" fontId="18" fillId="3" borderId="1" xfId="0" applyFont="1" applyFill="1" applyBorder="1" applyAlignment="1" applyProtection="1">
      <alignment horizontal="left" indent="1"/>
      <protection locked="0"/>
    </xf>
    <xf numFmtId="0" fontId="18" fillId="3" borderId="2" xfId="0" applyFont="1" applyFill="1" applyBorder="1" applyAlignment="1" applyProtection="1">
      <alignment horizontal="left" indent="1"/>
      <protection locked="0"/>
    </xf>
    <xf numFmtId="0" fontId="18" fillId="3" borderId="3" xfId="0" applyFont="1" applyFill="1" applyBorder="1" applyAlignment="1" applyProtection="1">
      <alignment horizontal="left" indent="1"/>
      <protection locked="0"/>
    </xf>
    <xf numFmtId="0" fontId="18" fillId="3" borderId="6" xfId="0" applyFont="1" applyFill="1" applyBorder="1" applyAlignment="1" applyProtection="1">
      <alignment horizontal="left" indent="1"/>
      <protection locked="0"/>
    </xf>
    <xf numFmtId="0" fontId="18" fillId="3" borderId="7" xfId="0" applyFont="1" applyFill="1" applyBorder="1" applyAlignment="1" applyProtection="1">
      <alignment horizontal="left" indent="1"/>
      <protection locked="0"/>
    </xf>
    <xf numFmtId="0" fontId="18" fillId="3" borderId="16" xfId="0" applyFont="1" applyFill="1" applyBorder="1" applyAlignment="1" applyProtection="1">
      <alignment horizontal="left" indent="1"/>
      <protection locked="0"/>
    </xf>
    <xf numFmtId="173" fontId="25" fillId="0" borderId="8" xfId="0" applyNumberFormat="1" applyFont="1" applyBorder="1" applyAlignment="1" applyProtection="1">
      <alignment horizontal="center" vertical="center"/>
      <protection locked="0"/>
    </xf>
    <xf numFmtId="173" fontId="25" fillId="0" borderId="10" xfId="0" applyNumberFormat="1" applyFont="1" applyBorder="1" applyAlignment="1" applyProtection="1">
      <alignment horizontal="center" vertical="center"/>
      <protection locked="0"/>
    </xf>
    <xf numFmtId="173" fontId="36" fillId="2" borderId="0" xfId="0" applyNumberFormat="1" applyFont="1" applyFill="1" applyAlignment="1" applyProtection="1">
      <alignment horizontal="left" vertical="top" wrapText="1"/>
      <protection hidden="1"/>
    </xf>
    <xf numFmtId="0" fontId="30" fillId="2" borderId="0" xfId="0" applyFont="1" applyFill="1" applyAlignment="1" applyProtection="1">
      <alignment horizontal="center"/>
      <protection hidden="1"/>
    </xf>
    <xf numFmtId="173" fontId="18" fillId="2" borderId="0" xfId="0" applyNumberFormat="1" applyFont="1" applyFill="1" applyAlignment="1" applyProtection="1">
      <alignment horizontal="left" wrapText="1"/>
      <protection hidden="1"/>
    </xf>
    <xf numFmtId="0" fontId="18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3" fontId="17" fillId="0" borderId="5" xfId="22" applyNumberFormat="1" applyBorder="1"/>
    <xf numFmtId="3" fontId="17" fillId="0" borderId="16" xfId="22" applyNumberFormat="1" applyBorder="1"/>
    <xf numFmtId="3" fontId="17" fillId="0" borderId="3" xfId="22" applyNumberFormat="1" applyBorder="1"/>
  </cellXfs>
  <cellStyles count="24">
    <cellStyle name="Besøgt Hyperlink" xfId="12" xr:uid="{00000000-0005-0000-0000-000000000000}"/>
    <cellStyle name="Hyperlink" xfId="13" xr:uid="{00000000-0005-0000-0000-000001000000}"/>
    <cellStyle name="Komma" xfId="1" builtinId="3"/>
    <cellStyle name="Komma 2" xfId="2" xr:uid="{00000000-0005-0000-0000-000001000000}"/>
    <cellStyle name="Komma 2 2" xfId="16" xr:uid="{00000000-0005-0000-0000-000003000000}"/>
    <cellStyle name="Komma 2 3" xfId="20" xr:uid="{A3E4FC34-DF0F-4CCC-A19F-72CAE3C15E2F}"/>
    <cellStyle name="Komma 2 4" xfId="22" xr:uid="{166EA9D4-257F-474E-8EA7-F9692D0C727C}"/>
    <cellStyle name="Komma 3" xfId="14" xr:uid="{00000000-0005-0000-0000-000039000000}"/>
    <cellStyle name="Komma 4" xfId="19" xr:uid="{1F76AAEE-B6C5-401B-83F8-A2791A06A496}"/>
    <cellStyle name="Komma 5" xfId="21" xr:uid="{F369B24C-F79D-40AB-931F-A11F86BF16A5}"/>
    <cellStyle name="Komma_lønninger" xfId="3" xr:uid="{00000000-0005-0000-0000-000002000000}"/>
    <cellStyle name="Link 2" xfId="4" xr:uid="{00000000-0005-0000-0000-000003000000}"/>
    <cellStyle name="Normal" xfId="0" builtinId="0"/>
    <cellStyle name="Normal 2" xfId="5" xr:uid="{00000000-0005-0000-0000-000005000000}"/>
    <cellStyle name="Normal 2 2" xfId="17" xr:uid="{00000000-0005-0000-0000-000005000000}"/>
    <cellStyle name="Normal 3" xfId="11" xr:uid="{00000000-0005-0000-0000-00003B000000}"/>
    <cellStyle name="Normal 4" xfId="23" xr:uid="{5798F039-22C7-4DC9-A04D-5DBCC4B42B5D}"/>
    <cellStyle name="Normal_lønninger" xfId="6" xr:uid="{00000000-0005-0000-0000-000006000000}"/>
    <cellStyle name="Normal_lønninger_1" xfId="7" xr:uid="{00000000-0005-0000-0000-000007000000}"/>
    <cellStyle name="Normal_Puljebelastning" xfId="8" xr:uid="{00000000-0005-0000-0000-000008000000}"/>
    <cellStyle name="Procent" xfId="9" builtinId="5"/>
    <cellStyle name="Procent 2" xfId="10" xr:uid="{00000000-0005-0000-0000-00000A000000}"/>
    <cellStyle name="Procent 2 2" xfId="18" xr:uid="{00000000-0005-0000-0000-000007000000}"/>
    <cellStyle name="Procent 3" xfId="15" xr:uid="{00000000-0005-0000-0000-00003D000000}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28575</xdr:rowOff>
    </xdr:from>
    <xdr:to>
      <xdr:col>1</xdr:col>
      <xdr:colOff>762000</xdr:colOff>
      <xdr:row>11</xdr:row>
      <xdr:rowOff>9525</xdr:rowOff>
    </xdr:to>
    <xdr:sp macro="[0]!UdskrivPuljebelastning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400-00000B140000}"/>
            </a:ext>
          </a:extLst>
        </xdr:cNvPr>
        <xdr:cNvSpPr txBox="1">
          <a:spLocks noChangeArrowheads="1"/>
        </xdr:cNvSpPr>
      </xdr:nvSpPr>
      <xdr:spPr bwMode="auto">
        <a:xfrm>
          <a:off x="19050" y="962025"/>
          <a:ext cx="1323975" cy="3238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Udskriv puljebelastning</a:t>
          </a:r>
        </a:p>
        <a:p>
          <a:pPr algn="ctr" rtl="0">
            <a:lnSpc>
              <a:spcPts val="10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Tryk her</a:t>
          </a: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177"/>
  <sheetViews>
    <sheetView zoomScaleSheetLayoutView="85" workbookViewId="0">
      <selection activeCell="C27" sqref="C27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2" style="9" customWidth="1"/>
    <col min="4" max="4" width="6.5" style="9" customWidth="1"/>
    <col min="5" max="7" width="13.83203125" style="9" customWidth="1"/>
    <col min="8" max="8" width="2.83203125" style="9" customWidth="1"/>
    <col min="9" max="9" width="5.83203125" style="9" customWidth="1"/>
    <col min="10" max="10" width="4.5" style="9" customWidth="1"/>
    <col min="11" max="11" width="15" style="9" hidden="1" customWidth="1"/>
    <col min="12" max="12" width="9.33203125" style="9" hidden="1" customWidth="1"/>
    <col min="13" max="16384" width="9.33203125" style="9"/>
  </cols>
  <sheetData>
    <row r="1" spans="1:12" ht="12.75" customHeight="1" x14ac:dyDescent="0.2">
      <c r="A1" s="10" t="s">
        <v>10</v>
      </c>
      <c r="F1" s="189" t="s">
        <v>0</v>
      </c>
      <c r="G1" s="266"/>
    </row>
    <row r="2" spans="1:12" ht="12.75" customHeight="1" x14ac:dyDescent="0.2">
      <c r="A2" s="10" t="s">
        <v>383</v>
      </c>
    </row>
    <row r="3" spans="1:12" ht="12.75" customHeight="1" x14ac:dyDescent="0.2">
      <c r="A3" s="601" t="s">
        <v>385</v>
      </c>
      <c r="B3" s="601"/>
      <c r="C3" s="601"/>
      <c r="D3" s="601"/>
      <c r="E3" s="601"/>
      <c r="F3" s="601"/>
      <c r="G3" s="601"/>
    </row>
    <row r="4" spans="1:12" ht="12.75" customHeight="1" x14ac:dyDescent="0.2"/>
    <row r="5" spans="1:12" ht="12.75" customHeight="1" x14ac:dyDescent="0.2">
      <c r="A5" s="92">
        <v>1</v>
      </c>
      <c r="B5" s="93" t="s">
        <v>93</v>
      </c>
      <c r="C5" s="602"/>
      <c r="D5" s="602"/>
      <c r="E5" s="602"/>
      <c r="F5" s="602"/>
      <c r="G5" s="602"/>
    </row>
    <row r="6" spans="1:12" ht="12.75" customHeight="1" x14ac:dyDescent="0.2">
      <c r="A6" s="92">
        <v>2</v>
      </c>
      <c r="B6" s="93" t="s">
        <v>87</v>
      </c>
      <c r="C6" s="603"/>
      <c r="D6" s="603"/>
      <c r="E6" s="603"/>
      <c r="F6" s="603"/>
      <c r="G6" s="603"/>
    </row>
    <row r="7" spans="1:12" ht="12.75" customHeight="1" x14ac:dyDescent="0.2">
      <c r="A7" s="92">
        <v>3</v>
      </c>
      <c r="B7" s="93" t="s">
        <v>88</v>
      </c>
      <c r="C7" s="602"/>
      <c r="D7" s="602"/>
      <c r="E7" s="602"/>
      <c r="F7" s="602"/>
      <c r="G7" s="602"/>
    </row>
    <row r="8" spans="1:12" ht="12.75" customHeight="1" x14ac:dyDescent="0.2">
      <c r="A8" s="92">
        <v>4</v>
      </c>
      <c r="B8" s="93" t="s">
        <v>55</v>
      </c>
      <c r="C8" s="203">
        <f>C9/MAX(C10,1)</f>
        <v>1</v>
      </c>
      <c r="G8" s="95"/>
    </row>
    <row r="9" spans="1:12" ht="12.75" customHeight="1" x14ac:dyDescent="0.2">
      <c r="A9" s="204" t="s">
        <v>159</v>
      </c>
      <c r="B9" s="93" t="s">
        <v>95</v>
      </c>
      <c r="C9" s="90">
        <v>37</v>
      </c>
      <c r="D9" s="179"/>
      <c r="E9" s="101"/>
      <c r="F9" s="101"/>
      <c r="G9" s="95"/>
    </row>
    <row r="10" spans="1:12" ht="12.75" customHeight="1" x14ac:dyDescent="0.2">
      <c r="A10" s="92" t="s">
        <v>160</v>
      </c>
      <c r="B10" s="93" t="s">
        <v>96</v>
      </c>
      <c r="C10" s="90">
        <v>37</v>
      </c>
      <c r="D10" s="96"/>
      <c r="E10" s="97"/>
      <c r="F10" s="97"/>
      <c r="G10" s="117"/>
    </row>
    <row r="11" spans="1:12" ht="12.75" customHeight="1" x14ac:dyDescent="0.2">
      <c r="A11" s="92">
        <v>5</v>
      </c>
      <c r="B11" s="93" t="s">
        <v>232</v>
      </c>
      <c r="C11" s="602"/>
      <c r="D11" s="602"/>
      <c r="E11" s="602"/>
      <c r="F11" s="602"/>
      <c r="G11" s="602"/>
    </row>
    <row r="12" spans="1:12" ht="12.75" customHeight="1" x14ac:dyDescent="0.2">
      <c r="A12" s="92">
        <v>6</v>
      </c>
      <c r="B12" s="93" t="s">
        <v>150</v>
      </c>
      <c r="C12" s="603"/>
      <c r="D12" s="603"/>
      <c r="E12" s="96"/>
      <c r="F12" s="97"/>
      <c r="G12" s="98"/>
    </row>
    <row r="13" spans="1:12" ht="12.75" customHeight="1" x14ac:dyDescent="0.2">
      <c r="A13" s="92">
        <v>7</v>
      </c>
      <c r="B13" s="93" t="s">
        <v>12</v>
      </c>
      <c r="C13" s="90"/>
      <c r="D13" s="604" t="e">
        <f>VLOOKUP(C13,tabeloverenskomstnr,3,1)</f>
        <v>#N/A</v>
      </c>
      <c r="E13" s="604"/>
      <c r="F13" s="604"/>
      <c r="G13" s="604"/>
    </row>
    <row r="14" spans="1:12" ht="12.75" customHeight="1" x14ac:dyDescent="0.2">
      <c r="A14" s="92">
        <v>8</v>
      </c>
      <c r="B14" s="93" t="s">
        <v>92</v>
      </c>
      <c r="C14" s="602"/>
      <c r="D14" s="602"/>
      <c r="E14" s="96"/>
      <c r="F14" s="97"/>
      <c r="G14" s="98"/>
    </row>
    <row r="15" spans="1:12" ht="12.75" customHeight="1" x14ac:dyDescent="0.2">
      <c r="A15" s="92">
        <v>9</v>
      </c>
      <c r="B15" s="122" t="str">
        <f>IF(OR(C15&lt;0,C15&gt;5),"Fejl! Lønkode skal være 0 - 5","Lønkode")</f>
        <v>Lønkode</v>
      </c>
      <c r="C15" s="90">
        <v>0</v>
      </c>
      <c r="D15" s="268" t="s">
        <v>322</v>
      </c>
      <c r="E15" s="101"/>
      <c r="F15" s="101"/>
      <c r="G15" s="120"/>
      <c r="K15" s="9" t="s">
        <v>272</v>
      </c>
      <c r="L15" s="9">
        <f>VLOOKUP(LønkodeRåd1,TabelPctReg,2)</f>
        <v>65.337800000000001</v>
      </c>
    </row>
    <row r="16" spans="1:12" ht="12.75" customHeight="1" x14ac:dyDescent="0.2">
      <c r="A16" s="92"/>
      <c r="B16" s="122"/>
      <c r="C16" s="122"/>
      <c r="D16" s="269" t="s">
        <v>323</v>
      </c>
      <c r="E16" s="249"/>
      <c r="F16" s="249"/>
      <c r="G16" s="118"/>
    </row>
    <row r="17" spans="1:12" ht="12.75" customHeight="1" x14ac:dyDescent="0.2">
      <c r="A17" s="92">
        <v>10</v>
      </c>
      <c r="B17" s="122" t="s">
        <v>269</v>
      </c>
      <c r="C17" s="90"/>
      <c r="D17" s="586" t="s">
        <v>265</v>
      </c>
      <c r="E17" s="587"/>
      <c r="F17" s="97"/>
      <c r="G17" s="98"/>
      <c r="K17" s="75"/>
      <c r="L17" s="75"/>
    </row>
    <row r="18" spans="1:12" ht="12.75" customHeight="1" x14ac:dyDescent="0.2">
      <c r="B18" s="10"/>
    </row>
    <row r="19" spans="1:12" ht="12.75" customHeight="1" x14ac:dyDescent="0.2">
      <c r="A19" s="100"/>
      <c r="B19" s="101"/>
      <c r="C19" s="207" t="s">
        <v>161</v>
      </c>
      <c r="D19" s="207" t="s">
        <v>2</v>
      </c>
      <c r="E19" s="207" t="s">
        <v>233</v>
      </c>
      <c r="F19" s="208" t="s">
        <v>234</v>
      </c>
      <c r="G19" s="38"/>
    </row>
    <row r="20" spans="1:12" ht="12.75" customHeight="1" x14ac:dyDescent="0.2">
      <c r="A20" s="38"/>
      <c r="C20" s="209" t="s">
        <v>162</v>
      </c>
      <c r="D20" s="209"/>
      <c r="E20" s="209"/>
      <c r="F20" s="210"/>
      <c r="G20" s="38"/>
    </row>
    <row r="21" spans="1:12" ht="12.75" customHeight="1" x14ac:dyDescent="0.2">
      <c r="A21" s="38"/>
      <c r="C21" s="221">
        <f>VLOOKUP(LønkodeRåd1,TabelPctReg,3)</f>
        <v>36616</v>
      </c>
      <c r="D21" s="211"/>
      <c r="E21" s="221">
        <f>Dato1</f>
        <v>46113</v>
      </c>
      <c r="F21" s="221">
        <f>Dato1</f>
        <v>46113</v>
      </c>
      <c r="G21" s="184"/>
    </row>
    <row r="22" spans="1:12" ht="12.75" customHeight="1" x14ac:dyDescent="0.2">
      <c r="A22" s="92">
        <v>11</v>
      </c>
      <c r="B22" s="122" t="s">
        <v>4</v>
      </c>
      <c r="C22" s="180"/>
      <c r="D22" s="90"/>
      <c r="E22" s="104">
        <f>ROUND(VLOOKUP(D22,TabelLøn,StartKolonneRåd1,1)*BeskGradRåd1,2)+ROUND(C22/12*BeskGradRåd1*(1+PctRegRåd1%),2)</f>
        <v>0</v>
      </c>
      <c r="F22" s="183">
        <f>E22*12</f>
        <v>0</v>
      </c>
      <c r="G22" s="187"/>
    </row>
    <row r="23" spans="1:12" ht="12.75" customHeight="1" x14ac:dyDescent="0.2">
      <c r="A23" s="92">
        <v>12</v>
      </c>
      <c r="B23" s="93" t="s">
        <v>144</v>
      </c>
      <c r="C23" s="103"/>
      <c r="D23" s="93"/>
      <c r="E23" s="104"/>
      <c r="F23" s="119"/>
      <c r="G23" s="187"/>
    </row>
    <row r="24" spans="1:12" ht="12.75" customHeight="1" x14ac:dyDescent="0.2">
      <c r="A24" s="92"/>
      <c r="B24" s="93" t="s">
        <v>250</v>
      </c>
      <c r="C24" s="103"/>
      <c r="D24" s="90"/>
      <c r="E24" s="104">
        <f>ROUND((VLOOKUP($D$22+D24,TabelLøn,StartKolonneRåd1,1)-VLOOKUP($D$22,TabelLøn,StartKolonneRåd1,1))*BeskGradRåd1,2)</f>
        <v>0</v>
      </c>
      <c r="F24" s="183">
        <f>E24*12</f>
        <v>0</v>
      </c>
      <c r="G24" s="273"/>
    </row>
    <row r="25" spans="1:12" ht="12.75" customHeight="1" x14ac:dyDescent="0.2">
      <c r="A25" s="92"/>
      <c r="B25" s="93" t="s">
        <v>251</v>
      </c>
      <c r="C25" s="180"/>
      <c r="D25" s="94"/>
      <c r="E25" s="104">
        <f>ROUND(C25/12*BeskGradRåd1*(1+PctRegRåd1%),2)</f>
        <v>0</v>
      </c>
      <c r="F25" s="183">
        <f>E25*12</f>
        <v>0</v>
      </c>
      <c r="G25" s="187"/>
    </row>
    <row r="26" spans="1:12" ht="12.75" customHeight="1" x14ac:dyDescent="0.2">
      <c r="A26" s="92"/>
      <c r="B26" s="93" t="s">
        <v>252</v>
      </c>
      <c r="C26" s="103"/>
      <c r="D26" s="90"/>
      <c r="E26" s="104">
        <f>ROUND((VLOOKUP($D$22+D24+D26,TabelLøn,StartKolonneRåd1,1)-VLOOKUP($D$22+D24,TabelLøn,StartKolonneRåd1,1))*BeskGradRåd1,2)</f>
        <v>0</v>
      </c>
      <c r="F26" s="183">
        <f>E26*12</f>
        <v>0</v>
      </c>
      <c r="G26" s="273"/>
    </row>
    <row r="27" spans="1:12" ht="12.75" customHeight="1" x14ac:dyDescent="0.2">
      <c r="A27" s="92"/>
      <c r="B27" s="93" t="s">
        <v>253</v>
      </c>
      <c r="C27" s="180"/>
      <c r="D27" s="93"/>
      <c r="E27" s="104">
        <f>ROUND(C27/12*BeskGradRåd1*(1+PctRegRåd1%),2)</f>
        <v>0</v>
      </c>
      <c r="F27" s="183">
        <f>E27*12</f>
        <v>0</v>
      </c>
      <c r="G27" s="187"/>
    </row>
    <row r="28" spans="1:12" ht="12.75" customHeight="1" x14ac:dyDescent="0.2">
      <c r="A28" s="92"/>
      <c r="B28" s="93" t="s">
        <v>249</v>
      </c>
      <c r="C28" s="180"/>
      <c r="D28" s="93"/>
      <c r="E28" s="104">
        <f>ROUND(C28/12*BeskGradRåd1*(1+PctRegRåd1%),2)</f>
        <v>0</v>
      </c>
      <c r="F28" s="183">
        <f>E28*12</f>
        <v>0</v>
      </c>
      <c r="G28" s="187"/>
    </row>
    <row r="29" spans="1:12" ht="12.75" customHeight="1" x14ac:dyDescent="0.2">
      <c r="A29" s="92">
        <v>13</v>
      </c>
      <c r="B29" s="93" t="s">
        <v>145</v>
      </c>
      <c r="C29" s="103"/>
      <c r="D29" s="94"/>
      <c r="E29" s="104"/>
      <c r="F29" s="119"/>
      <c r="G29" s="187"/>
    </row>
    <row r="30" spans="1:12" ht="12.75" customHeight="1" x14ac:dyDescent="0.2">
      <c r="A30" s="92"/>
      <c r="B30" s="93" t="s">
        <v>250</v>
      </c>
      <c r="C30" s="103"/>
      <c r="D30" s="90"/>
      <c r="E30" s="104">
        <f>ROUND((VLOOKUP($D$22+D24+D26+D30,TabelLøn,StartKolonneRåd1,1)-VLOOKUP($D$22+D24+D26,TabelLøn,StartKolonneRåd1,1))*BeskGradRåd1,2)</f>
        <v>0</v>
      </c>
      <c r="F30" s="183">
        <f>E30*12</f>
        <v>0</v>
      </c>
      <c r="G30" s="187"/>
    </row>
    <row r="31" spans="1:12" ht="12.75" customHeight="1" x14ac:dyDescent="0.2">
      <c r="A31" s="94"/>
      <c r="B31" s="93" t="s">
        <v>251</v>
      </c>
      <c r="C31" s="180"/>
      <c r="D31" s="94"/>
      <c r="E31" s="104">
        <f>ROUND(C31/12*BeskGradRåd1*(1+PctRegRåd1%),2)</f>
        <v>0</v>
      </c>
      <c r="F31" s="183">
        <f>E31*12</f>
        <v>0</v>
      </c>
      <c r="G31" s="187"/>
    </row>
    <row r="32" spans="1:12" ht="12.75" customHeight="1" x14ac:dyDescent="0.2">
      <c r="A32" s="92"/>
      <c r="B32" s="93" t="s">
        <v>252</v>
      </c>
      <c r="C32" s="103"/>
      <c r="D32" s="90"/>
      <c r="E32" s="104">
        <f>ROUND((VLOOKUP(SUM($D$22:D32),TabelLøn,StartKolonneRåd1,1)-VLOOKUP(SUM($D$22:D30),TabelLøn,StartKolonneRåd1,1))*BeskGradRåd1,2)</f>
        <v>0</v>
      </c>
      <c r="F32" s="183">
        <f>E32*12</f>
        <v>0</v>
      </c>
      <c r="G32" s="187"/>
    </row>
    <row r="33" spans="1:12" ht="12.75" customHeight="1" x14ac:dyDescent="0.2">
      <c r="A33" s="92"/>
      <c r="B33" s="93" t="s">
        <v>253</v>
      </c>
      <c r="C33" s="180"/>
      <c r="D33" s="94"/>
      <c r="E33" s="104">
        <f>ROUND(C33/12*BeskGradRåd1*(1+PctRegRåd1%),2)</f>
        <v>0</v>
      </c>
      <c r="F33" s="183">
        <f>E33*12</f>
        <v>0</v>
      </c>
      <c r="G33" s="187"/>
    </row>
    <row r="34" spans="1:12" ht="12.75" customHeight="1" x14ac:dyDescent="0.2">
      <c r="A34" s="92"/>
      <c r="B34" s="93" t="s">
        <v>249</v>
      </c>
      <c r="C34" s="180"/>
      <c r="D34" s="93"/>
      <c r="E34" s="104">
        <f>ROUND(C34/12*BeskGradRåd1*(1+PctRegRåd1%),2)</f>
        <v>0</v>
      </c>
      <c r="F34" s="183">
        <f>E34*12</f>
        <v>0</v>
      </c>
      <c r="G34" s="187"/>
    </row>
    <row r="35" spans="1:12" ht="12.75" customHeight="1" x14ac:dyDescent="0.2">
      <c r="A35" s="92">
        <v>14</v>
      </c>
      <c r="B35" s="93" t="s">
        <v>13</v>
      </c>
      <c r="C35" s="103"/>
      <c r="D35" s="94"/>
      <c r="E35" s="104"/>
      <c r="F35" s="119"/>
      <c r="G35" s="188"/>
    </row>
    <row r="36" spans="1:12" ht="12.75" customHeight="1" x14ac:dyDescent="0.2">
      <c r="A36" s="94"/>
      <c r="B36" s="93" t="s">
        <v>254</v>
      </c>
      <c r="C36" s="180"/>
      <c r="D36" s="94"/>
      <c r="E36" s="104">
        <f>ROUND(C36/12*BeskGradRåd1*(1+PctRegRåd1%),2)</f>
        <v>0</v>
      </c>
      <c r="F36" s="183">
        <f>E36*12</f>
        <v>0</v>
      </c>
      <c r="G36" s="188"/>
    </row>
    <row r="37" spans="1:12" ht="12.75" customHeight="1" x14ac:dyDescent="0.2">
      <c r="A37" s="94"/>
      <c r="B37" s="93" t="s">
        <v>249</v>
      </c>
      <c r="C37" s="180"/>
      <c r="D37" s="94"/>
      <c r="E37" s="104">
        <f>ROUND(C37/12*BeskGradRåd1*(1+PctRegRåd1%),2)</f>
        <v>0</v>
      </c>
      <c r="F37" s="183">
        <f>E37*12</f>
        <v>0</v>
      </c>
      <c r="G37" s="188"/>
    </row>
    <row r="38" spans="1:12" ht="12.75" customHeight="1" x14ac:dyDescent="0.2">
      <c r="A38" s="92">
        <v>15</v>
      </c>
      <c r="B38" s="93" t="s">
        <v>6</v>
      </c>
      <c r="C38" s="103"/>
      <c r="D38" s="94"/>
      <c r="E38" s="104"/>
      <c r="F38" s="119"/>
      <c r="G38" s="187"/>
    </row>
    <row r="39" spans="1:12" ht="12.75" customHeight="1" x14ac:dyDescent="0.2">
      <c r="A39" s="92">
        <v>16</v>
      </c>
      <c r="B39" s="122" t="str">
        <f>IF(AND(C39&lt;&gt;0,D39&lt;&gt;0),"Fejl! Udfyld ENTEN kr.beløb ELLER Trin","Overgangstillæg/trin pensionsgivende")</f>
        <v>Overgangstillæg/trin pensionsgivende</v>
      </c>
      <c r="C39" s="182"/>
      <c r="D39" s="90"/>
      <c r="E39" s="104">
        <f>ROUND((VLOOKUP(SUM($D$22:D39),TabelLøn,StartKolonneRåd1,1)-VLOOKUP(SUM($D$22:D36),TabelLøn,StartKolonneRåd1,1))*BeskGradRåd1,2)+ROUND(C39/12*BeskGradRåd1*(1+PctRegRåd1%),2)</f>
        <v>0</v>
      </c>
      <c r="F39" s="183">
        <f>E39*12</f>
        <v>0</v>
      </c>
      <c r="G39" s="187"/>
      <c r="K39" s="75"/>
      <c r="L39" s="75"/>
    </row>
    <row r="40" spans="1:12" ht="12.75" customHeight="1" x14ac:dyDescent="0.2">
      <c r="A40" s="92"/>
      <c r="B40" s="122" t="s">
        <v>255</v>
      </c>
      <c r="C40" s="182"/>
      <c r="D40" s="94"/>
      <c r="E40" s="104">
        <f>ROUND(C40/12*BeskGradRåd1*(1+PctRegRåd1%),2)</f>
        <v>0</v>
      </c>
      <c r="F40" s="183">
        <f>E40*12</f>
        <v>0</v>
      </c>
      <c r="G40" s="187"/>
      <c r="K40" s="75"/>
      <c r="L40" s="75"/>
    </row>
    <row r="41" spans="1:12" ht="12.75" customHeight="1" x14ac:dyDescent="0.2">
      <c r="A41" s="92"/>
      <c r="B41" s="233" t="s">
        <v>248</v>
      </c>
      <c r="C41" s="186">
        <f>SUM(C22:C40)</f>
        <v>0</v>
      </c>
      <c r="D41" s="234">
        <f>SUM(D22:D40)</f>
        <v>0</v>
      </c>
      <c r="E41" s="186">
        <f>SUM(E22:E40)</f>
        <v>0</v>
      </c>
      <c r="F41" s="186">
        <f>SUM(F22:F40)</f>
        <v>0</v>
      </c>
      <c r="G41" s="187"/>
      <c r="K41" s="75" t="s">
        <v>235</v>
      </c>
      <c r="L41" s="75" t="s">
        <v>22</v>
      </c>
    </row>
    <row r="42" spans="1:12" ht="12.75" customHeight="1" x14ac:dyDescent="0.2">
      <c r="A42" s="92">
        <v>17</v>
      </c>
      <c r="B42" s="93" t="s">
        <v>238</v>
      </c>
      <c r="C42" s="103"/>
      <c r="D42" s="94"/>
      <c r="E42" s="104">
        <f>ROUND(VLOOKUP(D44,TabelLønninger,VLOOKUP(LønkodeRåd1,TabelPensgivLøn,2))*Pensionsprocentafgang/100/12*BeskGradRåd1,2)+L42</f>
        <v>0</v>
      </c>
      <c r="F42" s="183">
        <f>E42*12</f>
        <v>0</v>
      </c>
      <c r="G42" s="187"/>
      <c r="K42" s="104">
        <f>C41-C28-C34-C37-C40</f>
        <v>0</v>
      </c>
      <c r="L42" s="104">
        <f>ROUND(K42/12*BeskGradRåd1*(1+PctRegRåd1%)*Pensionsprocentafgang/100,2)</f>
        <v>0</v>
      </c>
    </row>
    <row r="43" spans="1:12" ht="12.75" customHeight="1" x14ac:dyDescent="0.2">
      <c r="A43" s="111">
        <v>18</v>
      </c>
      <c r="B43" s="102" t="s">
        <v>236</v>
      </c>
      <c r="C43" s="108"/>
      <c r="D43" s="231"/>
      <c r="E43" s="113"/>
      <c r="F43" s="230"/>
      <c r="G43" s="187"/>
      <c r="K43" s="201"/>
      <c r="L43" s="201"/>
    </row>
    <row r="44" spans="1:12" ht="12.75" customHeight="1" x14ac:dyDescent="0.2">
      <c r="A44" s="232"/>
      <c r="B44" s="233" t="s">
        <v>237</v>
      </c>
      <c r="C44" s="186">
        <f>SUM(C41:C42)</f>
        <v>0</v>
      </c>
      <c r="D44" s="234">
        <f>SUM(D41:D42)</f>
        <v>0</v>
      </c>
      <c r="E44" s="186">
        <f>SUM(E41:E42)</f>
        <v>0</v>
      </c>
      <c r="F44" s="235">
        <f>SUM(F41:F42)</f>
        <v>0</v>
      </c>
      <c r="G44" s="187"/>
      <c r="L44" s="201"/>
    </row>
    <row r="45" spans="1:12" ht="12.75" customHeight="1" x14ac:dyDescent="0.2">
      <c r="A45" s="107">
        <v>19</v>
      </c>
      <c r="B45" s="102" t="s">
        <v>231</v>
      </c>
      <c r="C45" s="108"/>
      <c r="D45" s="108"/>
      <c r="E45" s="113"/>
      <c r="F45" s="185"/>
      <c r="G45" s="187"/>
      <c r="L45" s="201"/>
    </row>
    <row r="46" spans="1:12" ht="12.75" customHeight="1" x14ac:dyDescent="0.2">
      <c r="A46" s="45"/>
      <c r="B46" s="233" t="s">
        <v>237</v>
      </c>
      <c r="C46" s="115">
        <f>C104</f>
        <v>0</v>
      </c>
      <c r="D46" s="110">
        <f>D104</f>
        <v>0</v>
      </c>
      <c r="E46" s="115">
        <f>E104</f>
        <v>0</v>
      </c>
      <c r="F46" s="115">
        <f>F104</f>
        <v>0</v>
      </c>
      <c r="G46" s="187"/>
    </row>
    <row r="47" spans="1:12" ht="12.75" customHeight="1" x14ac:dyDescent="0.2">
      <c r="A47" s="111">
        <v>20</v>
      </c>
      <c r="B47" s="40" t="s">
        <v>239</v>
      </c>
      <c r="C47" s="113"/>
      <c r="D47" s="112"/>
      <c r="E47" s="113"/>
      <c r="F47" s="114"/>
      <c r="G47" s="187"/>
    </row>
    <row r="48" spans="1:12" ht="12.75" customHeight="1" x14ac:dyDescent="0.2">
      <c r="A48" s="45"/>
      <c r="B48" s="233" t="s">
        <v>237</v>
      </c>
      <c r="C48" s="109">
        <f>C44-C46</f>
        <v>0</v>
      </c>
      <c r="D48" s="236">
        <f>D44-D46</f>
        <v>0</v>
      </c>
      <c r="E48" s="109">
        <f>E44-E46</f>
        <v>0</v>
      </c>
      <c r="F48" s="109">
        <f>F44-F46</f>
        <v>0</v>
      </c>
      <c r="G48" s="187"/>
    </row>
    <row r="49" spans="1:7" ht="12.75" customHeight="1" x14ac:dyDescent="0.2">
      <c r="A49" s="111">
        <v>21</v>
      </c>
      <c r="B49" s="116" t="s">
        <v>241</v>
      </c>
      <c r="C49" s="99" t="s">
        <v>8</v>
      </c>
      <c r="D49" s="116"/>
      <c r="E49" s="116"/>
      <c r="F49" s="98"/>
      <c r="G49" s="237"/>
    </row>
    <row r="50" spans="1:7" ht="12.75" customHeight="1" x14ac:dyDescent="0.2">
      <c r="A50" s="45"/>
      <c r="B50" s="243"/>
      <c r="C50" s="238"/>
      <c r="D50" s="239"/>
      <c r="E50" s="240"/>
      <c r="F50" s="241"/>
      <c r="G50" s="237"/>
    </row>
    <row r="51" spans="1:7" ht="12.75" customHeight="1" x14ac:dyDescent="0.2">
      <c r="A51" s="232"/>
      <c r="B51" s="244"/>
      <c r="C51" s="242"/>
      <c r="D51" s="43"/>
      <c r="E51" s="43"/>
      <c r="F51" s="118"/>
    </row>
    <row r="52" spans="1:7" ht="12.75" customHeight="1" x14ac:dyDescent="0.2">
      <c r="A52" s="200"/>
      <c r="B52" s="10"/>
      <c r="C52" s="10"/>
      <c r="D52" s="10"/>
      <c r="E52" s="10"/>
    </row>
    <row r="53" spans="1:7" ht="12.75" customHeight="1" x14ac:dyDescent="0.2">
      <c r="A53" s="598" t="s">
        <v>212</v>
      </c>
      <c r="B53" s="599"/>
      <c r="C53" s="599"/>
      <c r="D53" s="599"/>
      <c r="E53" s="599"/>
      <c r="F53" s="599"/>
      <c r="G53" s="600"/>
    </row>
    <row r="54" spans="1:7" ht="12.75" customHeight="1" x14ac:dyDescent="0.2">
      <c r="A54" s="581"/>
      <c r="B54" s="582"/>
      <c r="C54" s="582"/>
      <c r="D54" s="582"/>
      <c r="E54" s="582"/>
      <c r="F54" s="582"/>
      <c r="G54" s="583"/>
    </row>
    <row r="55" spans="1:7" ht="12.75" customHeight="1" x14ac:dyDescent="0.2">
      <c r="A55" s="578"/>
      <c r="B55" s="579"/>
      <c r="C55" s="579"/>
      <c r="D55" s="579"/>
      <c r="E55" s="579"/>
      <c r="F55" s="579"/>
      <c r="G55" s="580"/>
    </row>
    <row r="56" spans="1:7" ht="12.75" customHeight="1" x14ac:dyDescent="0.2">
      <c r="A56" s="578"/>
      <c r="B56" s="579"/>
      <c r="C56" s="579"/>
      <c r="D56" s="579"/>
      <c r="E56" s="579"/>
      <c r="F56" s="579"/>
      <c r="G56" s="580"/>
    </row>
    <row r="57" spans="1:7" ht="12.75" customHeight="1" x14ac:dyDescent="0.2">
      <c r="A57" s="578"/>
      <c r="B57" s="579"/>
      <c r="C57" s="579"/>
      <c r="D57" s="579"/>
      <c r="E57" s="579"/>
      <c r="F57" s="579"/>
      <c r="G57" s="580"/>
    </row>
    <row r="58" spans="1:7" ht="12.75" customHeight="1" x14ac:dyDescent="0.2">
      <c r="A58" s="578"/>
      <c r="B58" s="579"/>
      <c r="C58" s="579"/>
      <c r="D58" s="579"/>
      <c r="E58" s="579"/>
      <c r="F58" s="579"/>
      <c r="G58" s="580"/>
    </row>
    <row r="59" spans="1:7" ht="12.75" customHeight="1" x14ac:dyDescent="0.2">
      <c r="A59" s="595"/>
      <c r="B59" s="596"/>
      <c r="C59" s="596"/>
      <c r="D59" s="596"/>
      <c r="E59" s="596"/>
      <c r="F59" s="596"/>
      <c r="G59" s="597"/>
    </row>
    <row r="60" spans="1:7" ht="12.75" customHeight="1" x14ac:dyDescent="0.2"/>
    <row r="61" spans="1:7" ht="12.75" customHeight="1" x14ac:dyDescent="0.2">
      <c r="A61" s="10" t="s">
        <v>10</v>
      </c>
      <c r="F61" s="189" t="s">
        <v>0</v>
      </c>
      <c r="G61" s="190"/>
    </row>
    <row r="62" spans="1:7" ht="12.75" customHeight="1" x14ac:dyDescent="0.2">
      <c r="A62" s="10" t="s">
        <v>383</v>
      </c>
    </row>
    <row r="63" spans="1:7" ht="12.75" customHeight="1" x14ac:dyDescent="0.2">
      <c r="A63" s="601" t="s">
        <v>384</v>
      </c>
      <c r="B63" s="601"/>
      <c r="C63" s="601"/>
      <c r="D63" s="601"/>
      <c r="E63" s="601"/>
      <c r="F63" s="601"/>
      <c r="G63" s="601"/>
    </row>
    <row r="64" spans="1:7" ht="12.75" customHeight="1" x14ac:dyDescent="0.2">
      <c r="A64" s="10"/>
      <c r="D64" s="10"/>
      <c r="E64" s="10"/>
    </row>
    <row r="65" spans="1:12" ht="12.75" customHeight="1" x14ac:dyDescent="0.2">
      <c r="A65" s="92">
        <v>1</v>
      </c>
      <c r="B65" s="93" t="s">
        <v>65</v>
      </c>
      <c r="C65" s="607"/>
      <c r="D65" s="607"/>
      <c r="E65" s="607"/>
      <c r="F65" s="607"/>
      <c r="G65" s="594"/>
    </row>
    <row r="66" spans="1:12" ht="12.75" customHeight="1" x14ac:dyDescent="0.2">
      <c r="A66" s="92"/>
      <c r="B66" s="93" t="s">
        <v>151</v>
      </c>
      <c r="C66" s="607"/>
      <c r="D66" s="607"/>
      <c r="E66" s="607"/>
      <c r="F66" s="607"/>
      <c r="G66" s="594"/>
    </row>
    <row r="67" spans="1:12" ht="12.75" customHeight="1" x14ac:dyDescent="0.2">
      <c r="A67" s="92"/>
      <c r="B67" s="93" t="s">
        <v>152</v>
      </c>
      <c r="C67" s="90"/>
      <c r="D67" s="593"/>
      <c r="E67" s="605"/>
      <c r="F67" s="605"/>
      <c r="G67" s="606"/>
    </row>
    <row r="68" spans="1:12" ht="12.75" customHeight="1" x14ac:dyDescent="0.2">
      <c r="A68" s="92">
        <v>2</v>
      </c>
      <c r="B68" s="93" t="s">
        <v>87</v>
      </c>
      <c r="C68" s="584"/>
      <c r="D68" s="584"/>
      <c r="E68" s="584"/>
      <c r="F68" s="584"/>
      <c r="G68" s="585"/>
    </row>
    <row r="69" spans="1:12" ht="12.75" customHeight="1" x14ac:dyDescent="0.2">
      <c r="A69" s="92">
        <v>3</v>
      </c>
      <c r="B69" s="93" t="s">
        <v>88</v>
      </c>
      <c r="C69" s="576">
        <f>C7</f>
        <v>0</v>
      </c>
      <c r="D69" s="576"/>
      <c r="E69" s="576"/>
      <c r="F69" s="576"/>
      <c r="G69" s="577"/>
    </row>
    <row r="70" spans="1:12" ht="12.75" customHeight="1" x14ac:dyDescent="0.2">
      <c r="A70" s="92">
        <v>4</v>
      </c>
      <c r="B70" s="93" t="s">
        <v>55</v>
      </c>
      <c r="C70" s="203">
        <f>C71/MAX(C72,1)</f>
        <v>1</v>
      </c>
      <c r="D70" s="97"/>
      <c r="E70" s="97"/>
      <c r="F70" s="97"/>
      <c r="G70" s="117"/>
    </row>
    <row r="71" spans="1:12" ht="12.75" customHeight="1" x14ac:dyDescent="0.2">
      <c r="A71" s="92" t="s">
        <v>159</v>
      </c>
      <c r="B71" s="93" t="s">
        <v>89</v>
      </c>
      <c r="C71" s="90">
        <v>37</v>
      </c>
      <c r="D71" s="97"/>
      <c r="E71" s="97"/>
      <c r="F71" s="97"/>
      <c r="G71" s="117"/>
    </row>
    <row r="72" spans="1:12" ht="12.75" customHeight="1" x14ac:dyDescent="0.2">
      <c r="A72" s="92" t="s">
        <v>160</v>
      </c>
      <c r="B72" s="93" t="s">
        <v>90</v>
      </c>
      <c r="C72" s="90">
        <v>37</v>
      </c>
      <c r="D72" s="97"/>
      <c r="E72" s="97"/>
      <c r="F72" s="97"/>
      <c r="G72" s="117"/>
    </row>
    <row r="73" spans="1:12" ht="12.75" customHeight="1" x14ac:dyDescent="0.2">
      <c r="A73" s="92">
        <v>5</v>
      </c>
      <c r="B73" s="93" t="s">
        <v>232</v>
      </c>
      <c r="C73" s="576">
        <f>C11</f>
        <v>0</v>
      </c>
      <c r="D73" s="576"/>
      <c r="E73" s="576"/>
      <c r="F73" s="576"/>
      <c r="G73" s="577"/>
    </row>
    <row r="74" spans="1:12" ht="12.75" customHeight="1" x14ac:dyDescent="0.2">
      <c r="A74" s="92">
        <v>6</v>
      </c>
      <c r="B74" s="93" t="s">
        <v>150</v>
      </c>
      <c r="C74" s="590">
        <f>C12</f>
        <v>0</v>
      </c>
      <c r="D74" s="577"/>
      <c r="E74" s="97"/>
      <c r="F74" s="97"/>
      <c r="G74" s="98"/>
    </row>
    <row r="75" spans="1:12" ht="12.75" customHeight="1" x14ac:dyDescent="0.2">
      <c r="A75" s="92">
        <v>7</v>
      </c>
      <c r="B75" s="93" t="s">
        <v>12</v>
      </c>
      <c r="C75" s="219"/>
      <c r="D75" s="591" t="e">
        <f>VLOOKUP(C75,tabeloverenskomstnr,3,1)</f>
        <v>#N/A</v>
      </c>
      <c r="E75" s="591"/>
      <c r="F75" s="591"/>
      <c r="G75" s="592"/>
    </row>
    <row r="76" spans="1:12" ht="12.75" customHeight="1" x14ac:dyDescent="0.2">
      <c r="A76" s="92">
        <v>8</v>
      </c>
      <c r="B76" s="93" t="s">
        <v>94</v>
      </c>
      <c r="C76" s="593"/>
      <c r="D76" s="594"/>
      <c r="E76" s="97"/>
      <c r="F76" s="97"/>
      <c r="G76" s="98"/>
    </row>
    <row r="77" spans="1:12" ht="12.75" customHeight="1" x14ac:dyDescent="0.2">
      <c r="A77" s="202">
        <v>9</v>
      </c>
      <c r="B77" s="122" t="str">
        <f>IF(OR(C77&lt;0,C77&gt;5),"Fejl! Lønkode skal være 0 - 5","Lønkode")</f>
        <v>Lønkode</v>
      </c>
      <c r="C77" s="90"/>
      <c r="D77" s="100" t="s">
        <v>298</v>
      </c>
      <c r="E77" s="101"/>
      <c r="F77" s="101"/>
      <c r="G77" s="120"/>
      <c r="K77" s="9" t="s">
        <v>272</v>
      </c>
      <c r="L77" s="9">
        <f>VLOOKUP(LønkodeRåd2,TabelPctReg,2)</f>
        <v>65.337800000000001</v>
      </c>
    </row>
    <row r="78" spans="1:12" ht="12.75" customHeight="1" x14ac:dyDescent="0.2">
      <c r="A78" s="92"/>
      <c r="B78" s="122"/>
      <c r="C78" s="122"/>
      <c r="D78" s="242" t="s">
        <v>299</v>
      </c>
      <c r="E78" s="249"/>
      <c r="F78" s="249"/>
      <c r="G78" s="118"/>
    </row>
    <row r="79" spans="1:12" ht="12.75" customHeight="1" x14ac:dyDescent="0.2">
      <c r="A79" s="92">
        <v>10</v>
      </c>
      <c r="B79" s="122" t="s">
        <v>269</v>
      </c>
      <c r="C79" s="90"/>
      <c r="D79" s="586" t="s">
        <v>265</v>
      </c>
      <c r="E79" s="587"/>
      <c r="F79" s="97"/>
      <c r="G79" s="98"/>
      <c r="K79" s="75"/>
      <c r="L79" s="75"/>
    </row>
    <row r="80" spans="1:12" ht="12.75" customHeight="1" x14ac:dyDescent="0.2"/>
    <row r="81" spans="1:6" ht="12.75" customHeight="1" x14ac:dyDescent="0.2">
      <c r="A81" s="10" t="s">
        <v>77</v>
      </c>
    </row>
    <row r="82" spans="1:6" ht="12.75" customHeight="1" x14ac:dyDescent="0.2"/>
    <row r="83" spans="1:6" ht="12.75" customHeight="1" x14ac:dyDescent="0.2">
      <c r="A83" s="100"/>
      <c r="B83" s="101"/>
      <c r="C83" s="207" t="s">
        <v>161</v>
      </c>
      <c r="D83" s="207" t="s">
        <v>1</v>
      </c>
      <c r="E83" s="207" t="s">
        <v>233</v>
      </c>
      <c r="F83" s="207" t="s">
        <v>234</v>
      </c>
    </row>
    <row r="84" spans="1:6" ht="12.75" customHeight="1" x14ac:dyDescent="0.2">
      <c r="A84" s="38"/>
      <c r="C84" s="166" t="s">
        <v>162</v>
      </c>
      <c r="D84" s="209"/>
      <c r="E84" s="209"/>
      <c r="F84" s="209"/>
    </row>
    <row r="85" spans="1:6" ht="12.75" customHeight="1" x14ac:dyDescent="0.2">
      <c r="A85" s="38"/>
      <c r="C85" s="221">
        <f>VLOOKUP(LønkodeRåd2,TabelPctReg,3)</f>
        <v>36616</v>
      </c>
      <c r="D85" s="209"/>
      <c r="E85" s="222">
        <f>Dato1</f>
        <v>46113</v>
      </c>
      <c r="F85" s="222">
        <f>Dato1</f>
        <v>46113</v>
      </c>
    </row>
    <row r="86" spans="1:6" ht="12.75" customHeight="1" x14ac:dyDescent="0.2">
      <c r="A86" s="92">
        <v>11</v>
      </c>
      <c r="B86" s="122" t="s">
        <v>4</v>
      </c>
      <c r="C86" s="180"/>
      <c r="D86" s="90"/>
      <c r="E86" s="104">
        <f>ROUND(VLOOKUP(D86,TabelLøn,StartKolonneRåd2,1)*BeskGradRåd2,2)+ROUND(C86/12*BeskGradRåd2*(1+PctRegRåd2%),2)</f>
        <v>0</v>
      </c>
      <c r="F86" s="183">
        <f>E86*12</f>
        <v>0</v>
      </c>
    </row>
    <row r="87" spans="1:6" ht="12.75" customHeight="1" x14ac:dyDescent="0.2">
      <c r="A87" s="92">
        <v>12</v>
      </c>
      <c r="B87" s="116" t="s">
        <v>144</v>
      </c>
      <c r="C87" s="103"/>
      <c r="D87" s="94"/>
      <c r="E87" s="104"/>
      <c r="F87" s="105"/>
    </row>
    <row r="88" spans="1:6" ht="12.75" customHeight="1" x14ac:dyDescent="0.2">
      <c r="A88" s="93"/>
      <c r="B88" s="93" t="s">
        <v>250</v>
      </c>
      <c r="C88" s="103"/>
      <c r="D88" s="90"/>
      <c r="E88" s="104">
        <f>ROUND((VLOOKUP($D$86+D88,TabelLøn,StartKolonneRåd2,1)-VLOOKUP($D$86,TabelLøn,StartKolonneRåd2,1))*BeskGradRåd2,2)</f>
        <v>0</v>
      </c>
      <c r="F88" s="183">
        <f>E88*12</f>
        <v>0</v>
      </c>
    </row>
    <row r="89" spans="1:6" ht="12.75" customHeight="1" x14ac:dyDescent="0.2">
      <c r="A89" s="94"/>
      <c r="B89" s="93" t="s">
        <v>251</v>
      </c>
      <c r="C89" s="180"/>
      <c r="D89" s="94"/>
      <c r="E89" s="104">
        <f>ROUND(C89/12*BeskGradRåd2*(1+PctRegRåd2%),2)</f>
        <v>0</v>
      </c>
      <c r="F89" s="183">
        <f>E89*12</f>
        <v>0</v>
      </c>
    </row>
    <row r="90" spans="1:6" ht="12.75" customHeight="1" x14ac:dyDescent="0.2">
      <c r="A90" s="92"/>
      <c r="B90" s="93" t="s">
        <v>252</v>
      </c>
      <c r="C90" s="103"/>
      <c r="D90" s="90"/>
      <c r="E90" s="104">
        <f>ROUND((VLOOKUP($D$86+D88+D90,TabelLøn,StartKolonneRåd2,1)-VLOOKUP($D$86+D88,TabelLøn,StartKolonneRåd2,1))*BeskGradRåd2,2)</f>
        <v>0</v>
      </c>
      <c r="F90" s="183">
        <f>E90*12</f>
        <v>0</v>
      </c>
    </row>
    <row r="91" spans="1:6" ht="12.75" customHeight="1" x14ac:dyDescent="0.2">
      <c r="A91" s="96"/>
      <c r="B91" s="93" t="s">
        <v>253</v>
      </c>
      <c r="C91" s="180"/>
      <c r="D91" s="94"/>
      <c r="E91" s="104">
        <f>ROUND(C91/12*BeskGradRåd2*(1+PctRegRåd2%),2)</f>
        <v>0</v>
      </c>
      <c r="F91" s="183">
        <f>E91*12</f>
        <v>0</v>
      </c>
    </row>
    <row r="92" spans="1:6" ht="12.75" customHeight="1" x14ac:dyDescent="0.2">
      <c r="A92" s="96"/>
      <c r="B92" s="93" t="s">
        <v>249</v>
      </c>
      <c r="C92" s="180"/>
      <c r="D92" s="94"/>
      <c r="E92" s="104">
        <f>ROUND(C92/12*BeskGradRåd2*(1+PctRegRåd2%),2)</f>
        <v>0</v>
      </c>
      <c r="F92" s="183">
        <f>E92*12</f>
        <v>0</v>
      </c>
    </row>
    <row r="93" spans="1:6" ht="12.75" customHeight="1" x14ac:dyDescent="0.2">
      <c r="A93" s="202">
        <v>13</v>
      </c>
      <c r="B93" s="93" t="s">
        <v>145</v>
      </c>
      <c r="C93" s="103"/>
      <c r="D93" s="93"/>
      <c r="E93" s="122"/>
      <c r="F93" s="123"/>
    </row>
    <row r="94" spans="1:6" ht="12.75" customHeight="1" x14ac:dyDescent="0.2">
      <c r="A94" s="92"/>
      <c r="B94" s="93" t="s">
        <v>250</v>
      </c>
      <c r="C94" s="103"/>
      <c r="D94" s="90"/>
      <c r="E94" s="104">
        <f>ROUND((VLOOKUP($D$86+D88+D90+D94,TabelLøn,StartKolonneRåd2,1)-VLOOKUP($D$86+D88+D90,TabelLøn,StartKolonneRåd2,1))*BeskGradRåd2,2)</f>
        <v>0</v>
      </c>
      <c r="F94" s="183">
        <f>E94*12</f>
        <v>0</v>
      </c>
    </row>
    <row r="95" spans="1:6" ht="12.75" customHeight="1" x14ac:dyDescent="0.2">
      <c r="A95" s="94"/>
      <c r="B95" s="93" t="s">
        <v>251</v>
      </c>
      <c r="C95" s="180"/>
      <c r="D95" s="94"/>
      <c r="E95" s="104">
        <f>ROUND(C95/12*BeskGradRåd2*(1+PctRegRåd2%),2)</f>
        <v>0</v>
      </c>
      <c r="F95" s="183">
        <f>E95*12</f>
        <v>0</v>
      </c>
    </row>
    <row r="96" spans="1:6" ht="12.75" customHeight="1" x14ac:dyDescent="0.2">
      <c r="A96" s="92"/>
      <c r="B96" s="93" t="s">
        <v>252</v>
      </c>
      <c r="C96" s="103"/>
      <c r="D96" s="90"/>
      <c r="E96" s="104">
        <f>ROUND((VLOOKUP(SUM($D$86:D96),TabelLøn,StartKolonneRåd2,1)-VLOOKUP(SUM($D$86:D94),TabelLøn,StartKolonneRåd2,1))*BeskGradRåd2,2)</f>
        <v>0</v>
      </c>
      <c r="F96" s="183">
        <f>E96*12</f>
        <v>0</v>
      </c>
    </row>
    <row r="97" spans="1:12" ht="12.75" customHeight="1" x14ac:dyDescent="0.2">
      <c r="A97" s="94"/>
      <c r="B97" s="93" t="s">
        <v>253</v>
      </c>
      <c r="C97" s="180"/>
      <c r="D97" s="94"/>
      <c r="E97" s="104">
        <f>ROUND(C97/12*BeskGradRåd2*(1+PctRegRåd2%),2)</f>
        <v>0</v>
      </c>
      <c r="F97" s="183">
        <f>E97*12</f>
        <v>0</v>
      </c>
    </row>
    <row r="98" spans="1:12" ht="12.75" customHeight="1" x14ac:dyDescent="0.2">
      <c r="A98" s="94"/>
      <c r="B98" s="93" t="s">
        <v>249</v>
      </c>
      <c r="C98" s="180"/>
      <c r="D98" s="94"/>
      <c r="E98" s="104">
        <f>ROUND(C98/12*BeskGradRåd2*(1+PctRegRåd2%),2)</f>
        <v>0</v>
      </c>
      <c r="F98" s="183">
        <f>E98*12</f>
        <v>0</v>
      </c>
    </row>
    <row r="99" spans="1:12" ht="12.75" customHeight="1" x14ac:dyDescent="0.2">
      <c r="A99" s="92">
        <v>14</v>
      </c>
      <c r="B99" s="99" t="s">
        <v>13</v>
      </c>
      <c r="C99" s="103"/>
      <c r="D99" s="94"/>
      <c r="E99" s="104"/>
      <c r="F99" s="105"/>
    </row>
    <row r="100" spans="1:12" ht="12.75" customHeight="1" x14ac:dyDescent="0.2">
      <c r="A100" s="92"/>
      <c r="B100" s="99" t="s">
        <v>254</v>
      </c>
      <c r="C100" s="180"/>
      <c r="D100" s="94"/>
      <c r="E100" s="104">
        <f>ROUND(C100/12*BeskGradRåd2*(1+PctRegRåd2%),2)</f>
        <v>0</v>
      </c>
      <c r="F100" s="183">
        <f>E100*12</f>
        <v>0</v>
      </c>
    </row>
    <row r="101" spans="1:12" ht="12.75" customHeight="1" x14ac:dyDescent="0.2">
      <c r="A101" s="94"/>
      <c r="B101" s="99" t="s">
        <v>249</v>
      </c>
      <c r="C101" s="180"/>
      <c r="D101" s="94"/>
      <c r="E101" s="104">
        <f>ROUND(C101/12*BeskGradRåd2*(1+PctRegRåd2%),2)</f>
        <v>0</v>
      </c>
      <c r="F101" s="183">
        <f>E101*12</f>
        <v>0</v>
      </c>
      <c r="K101" s="75"/>
      <c r="L101" s="75"/>
    </row>
    <row r="102" spans="1:12" ht="12.75" customHeight="1" x14ac:dyDescent="0.2">
      <c r="A102" s="94"/>
      <c r="B102" s="233" t="s">
        <v>248</v>
      </c>
      <c r="C102" s="104">
        <f>SUM(C86:C101)</f>
        <v>0</v>
      </c>
      <c r="D102" s="106">
        <f>SUM(D86:D101)</f>
        <v>0</v>
      </c>
      <c r="E102" s="104">
        <f>SUM(E86:E101)</f>
        <v>0</v>
      </c>
      <c r="F102" s="104">
        <f>SUM(F86:F101)</f>
        <v>0</v>
      </c>
      <c r="K102" s="75" t="s">
        <v>235</v>
      </c>
      <c r="L102" s="75" t="s">
        <v>22</v>
      </c>
    </row>
    <row r="103" spans="1:12" ht="12.75" customHeight="1" x14ac:dyDescent="0.2">
      <c r="A103" s="92">
        <v>15</v>
      </c>
      <c r="B103" s="93" t="s">
        <v>238</v>
      </c>
      <c r="C103" s="103"/>
      <c r="D103" s="94"/>
      <c r="E103" s="104">
        <f>ROUND(VLOOKUP(D104,TabelLønninger,VLOOKUP(LønkodeRåd2,TabelPensgivLøn,2))*PensionsProcentTilgang/100/12*BeskGradRåd2,2)+L103</f>
        <v>0</v>
      </c>
      <c r="F103" s="183">
        <f>E103*12</f>
        <v>0</v>
      </c>
      <c r="K103" s="104">
        <f>C102-C92-C98-C101</f>
        <v>0</v>
      </c>
      <c r="L103" s="104">
        <f>ROUND(K103/12*BeskGradRåd2*(1+PctRegRåd2%)*PensionsProcentTilgang/100,2)</f>
        <v>0</v>
      </c>
    </row>
    <row r="104" spans="1:12" ht="12.75" customHeight="1" x14ac:dyDescent="0.2">
      <c r="A104" s="92">
        <v>16</v>
      </c>
      <c r="B104" s="233" t="s">
        <v>245</v>
      </c>
      <c r="C104" s="104">
        <f>SUM(C102:C103)</f>
        <v>0</v>
      </c>
      <c r="D104" s="106">
        <f>SUM(D102:D103)</f>
        <v>0</v>
      </c>
      <c r="E104" s="104">
        <f>SUM(E102:E103)</f>
        <v>0</v>
      </c>
      <c r="F104" s="104">
        <f>SUM(F102:F103)</f>
        <v>0</v>
      </c>
    </row>
    <row r="105" spans="1:12" ht="12.75" customHeight="1" x14ac:dyDescent="0.2"/>
    <row r="106" spans="1:12" ht="12.75" customHeight="1" x14ac:dyDescent="0.2">
      <c r="A106" s="598" t="s">
        <v>212</v>
      </c>
      <c r="B106" s="599"/>
      <c r="C106" s="599"/>
      <c r="D106" s="599"/>
      <c r="E106" s="599"/>
      <c r="F106" s="599"/>
      <c r="G106" s="600"/>
    </row>
    <row r="107" spans="1:12" ht="12.75" customHeight="1" x14ac:dyDescent="0.2">
      <c r="A107" s="581"/>
      <c r="B107" s="582"/>
      <c r="C107" s="582"/>
      <c r="D107" s="582"/>
      <c r="E107" s="582"/>
      <c r="F107" s="582"/>
      <c r="G107" s="583"/>
    </row>
    <row r="108" spans="1:12" ht="12.75" customHeight="1" x14ac:dyDescent="0.2">
      <c r="A108" s="578"/>
      <c r="B108" s="579"/>
      <c r="C108" s="579"/>
      <c r="D108" s="579"/>
      <c r="E108" s="579"/>
      <c r="F108" s="579"/>
      <c r="G108" s="580"/>
    </row>
    <row r="109" spans="1:12" ht="12.75" customHeight="1" x14ac:dyDescent="0.2">
      <c r="A109" s="578"/>
      <c r="B109" s="579"/>
      <c r="C109" s="579"/>
      <c r="D109" s="579"/>
      <c r="E109" s="579"/>
      <c r="F109" s="579"/>
      <c r="G109" s="580"/>
    </row>
    <row r="110" spans="1:12" ht="12.75" customHeight="1" x14ac:dyDescent="0.2">
      <c r="A110" s="578"/>
      <c r="B110" s="579"/>
      <c r="C110" s="579"/>
      <c r="D110" s="579"/>
      <c r="E110" s="579"/>
      <c r="F110" s="579"/>
      <c r="G110" s="580"/>
    </row>
    <row r="111" spans="1:12" ht="12.75" customHeight="1" x14ac:dyDescent="0.2">
      <c r="A111" s="578"/>
      <c r="B111" s="579"/>
      <c r="C111" s="579"/>
      <c r="D111" s="579"/>
      <c r="E111" s="579"/>
      <c r="F111" s="579"/>
      <c r="G111" s="580"/>
    </row>
    <row r="112" spans="1:12" ht="12.75" customHeight="1" x14ac:dyDescent="0.2">
      <c r="A112" s="595"/>
      <c r="B112" s="596"/>
      <c r="C112" s="596"/>
      <c r="D112" s="596"/>
      <c r="E112" s="596"/>
      <c r="F112" s="596"/>
      <c r="G112" s="597"/>
    </row>
    <row r="113" spans="1:7" ht="12.75" customHeight="1" x14ac:dyDescent="0.2"/>
    <row r="114" spans="1:7" ht="12.75" customHeight="1" x14ac:dyDescent="0.2">
      <c r="A114" s="10" t="s">
        <v>153</v>
      </c>
    </row>
    <row r="115" spans="1:7" ht="12.75" customHeight="1" x14ac:dyDescent="0.2">
      <c r="A115" s="9" t="s">
        <v>154</v>
      </c>
    </row>
    <row r="116" spans="1:7" ht="12.75" customHeight="1" x14ac:dyDescent="0.2">
      <c r="A116" s="9" t="s">
        <v>14</v>
      </c>
    </row>
    <row r="117" spans="1:7" ht="12.75" customHeight="1" x14ac:dyDescent="0.2"/>
    <row r="118" spans="1:7" ht="12.75" customHeight="1" x14ac:dyDescent="0.2">
      <c r="A118" s="10" t="s">
        <v>240</v>
      </c>
    </row>
    <row r="119" spans="1:7" ht="12.75" customHeight="1" x14ac:dyDescent="0.2">
      <c r="A119" s="96" t="s">
        <v>9</v>
      </c>
      <c r="B119" s="191"/>
      <c r="C119" s="97" t="s">
        <v>9</v>
      </c>
      <c r="D119" s="588"/>
      <c r="E119" s="589"/>
      <c r="F119" s="96" t="s">
        <v>9</v>
      </c>
      <c r="G119" s="191"/>
    </row>
    <row r="120" spans="1:7" ht="12.75" customHeight="1" x14ac:dyDescent="0.2">
      <c r="A120" s="124"/>
      <c r="B120" s="125"/>
      <c r="F120" s="124"/>
      <c r="G120" s="125"/>
    </row>
    <row r="121" spans="1:7" ht="12.75" customHeight="1" x14ac:dyDescent="0.2">
      <c r="A121" s="124"/>
      <c r="B121" s="125"/>
      <c r="F121" s="124"/>
      <c r="G121" s="125"/>
    </row>
    <row r="122" spans="1:7" ht="12.75" customHeight="1" x14ac:dyDescent="0.2">
      <c r="A122" s="99" t="s">
        <v>15</v>
      </c>
      <c r="B122" s="98"/>
      <c r="C122" s="116" t="s">
        <v>16</v>
      </c>
      <c r="D122" s="116"/>
      <c r="E122" s="97"/>
      <c r="F122" s="99" t="s">
        <v>17</v>
      </c>
      <c r="G122" s="126"/>
    </row>
    <row r="123" spans="1:7" ht="12.75" customHeight="1" x14ac:dyDescent="0.2"/>
    <row r="124" spans="1:7" ht="12.75" customHeight="1" x14ac:dyDescent="0.2">
      <c r="A124" s="10" t="s">
        <v>296</v>
      </c>
    </row>
    <row r="125" spans="1:7" ht="12.75" customHeight="1" x14ac:dyDescent="0.2"/>
    <row r="126" spans="1:7" ht="12.75" customHeight="1" x14ac:dyDescent="0.2"/>
    <row r="127" spans="1:7" ht="12.75" customHeight="1" x14ac:dyDescent="0.2">
      <c r="A127" s="92" t="s">
        <v>65</v>
      </c>
      <c r="B127" s="223">
        <f>C65</f>
        <v>0</v>
      </c>
    </row>
    <row r="128" spans="1:7" ht="12.75" customHeight="1" x14ac:dyDescent="0.2"/>
    <row r="129" spans="1:4" ht="12.75" customHeight="1" x14ac:dyDescent="0.25">
      <c r="A129" s="127" t="s">
        <v>80</v>
      </c>
      <c r="B129" s="127"/>
      <c r="C129" s="127"/>
    </row>
    <row r="130" spans="1:4" ht="12.75" customHeight="1" x14ac:dyDescent="0.2"/>
    <row r="131" spans="1:4" ht="12.75" customHeight="1" x14ac:dyDescent="0.25">
      <c r="A131" s="167" t="s">
        <v>81</v>
      </c>
      <c r="B131" s="170"/>
      <c r="C131" s="212" t="s">
        <v>161</v>
      </c>
      <c r="D131" s="212" t="s">
        <v>1</v>
      </c>
    </row>
    <row r="132" spans="1:4" ht="12.75" customHeight="1" x14ac:dyDescent="0.25">
      <c r="A132" s="205"/>
      <c r="B132" s="206"/>
      <c r="C132" s="213" t="s">
        <v>162</v>
      </c>
      <c r="D132" s="213"/>
    </row>
    <row r="133" spans="1:4" ht="12.75" customHeight="1" x14ac:dyDescent="0.25">
      <c r="A133" s="168"/>
      <c r="B133" s="171"/>
      <c r="C133" s="221">
        <f>VLOOKUP(LønkodeRåd2,TabelPctReg,3)</f>
        <v>36616</v>
      </c>
      <c r="D133" s="121"/>
    </row>
    <row r="134" spans="1:4" ht="12.75" customHeight="1" x14ac:dyDescent="0.25">
      <c r="A134" s="175" t="s">
        <v>4</v>
      </c>
      <c r="B134" s="118"/>
      <c r="C134" s="186">
        <f>C86</f>
        <v>0</v>
      </c>
      <c r="D134" s="229">
        <f>D86</f>
        <v>0</v>
      </c>
    </row>
    <row r="135" spans="1:4" ht="12.75" customHeight="1" x14ac:dyDescent="0.25">
      <c r="A135" s="175" t="s">
        <v>82</v>
      </c>
      <c r="B135" s="98"/>
      <c r="C135" s="180"/>
      <c r="D135" s="172"/>
    </row>
    <row r="136" spans="1:4" ht="12.75" customHeight="1" x14ac:dyDescent="0.2">
      <c r="A136" s="169"/>
      <c r="B136" s="91"/>
      <c r="C136" s="180"/>
      <c r="D136" s="172"/>
    </row>
    <row r="137" spans="1:4" ht="12.75" customHeight="1" x14ac:dyDescent="0.2">
      <c r="A137" s="169"/>
      <c r="B137" s="91"/>
      <c r="C137" s="180"/>
      <c r="D137" s="172"/>
    </row>
    <row r="138" spans="1:4" ht="12.75" customHeight="1" x14ac:dyDescent="0.2">
      <c r="A138" s="169"/>
      <c r="B138" s="91"/>
      <c r="C138" s="180"/>
      <c r="D138" s="172"/>
    </row>
    <row r="139" spans="1:4" ht="12.75" customHeight="1" x14ac:dyDescent="0.2">
      <c r="A139" s="169"/>
      <c r="B139" s="91"/>
      <c r="C139" s="180"/>
      <c r="D139" s="172"/>
    </row>
    <row r="140" spans="1:4" ht="12.75" customHeight="1" x14ac:dyDescent="0.2">
      <c r="A140" s="169"/>
      <c r="B140" s="91"/>
      <c r="C140" s="180"/>
      <c r="D140" s="172"/>
    </row>
    <row r="141" spans="1:4" ht="12.75" customHeight="1" x14ac:dyDescent="0.2">
      <c r="A141" s="169"/>
      <c r="B141" s="91"/>
      <c r="C141" s="180"/>
      <c r="D141" s="172"/>
    </row>
    <row r="142" spans="1:4" ht="12.75" customHeight="1" x14ac:dyDescent="0.2">
      <c r="A142" s="169"/>
      <c r="B142" s="91"/>
      <c r="C142" s="180"/>
      <c r="D142" s="172"/>
    </row>
    <row r="143" spans="1:4" ht="12.75" customHeight="1" x14ac:dyDescent="0.2">
      <c r="A143" s="169"/>
      <c r="B143" s="91"/>
      <c r="C143" s="180"/>
      <c r="D143" s="172"/>
    </row>
    <row r="144" spans="1:4" ht="12.75" customHeight="1" x14ac:dyDescent="0.2">
      <c r="A144" s="169"/>
      <c r="B144" s="91"/>
      <c r="C144" s="180"/>
      <c r="D144" s="172"/>
    </row>
    <row r="145" spans="1:4" ht="12.75" customHeight="1" x14ac:dyDescent="0.25">
      <c r="A145" s="175" t="s">
        <v>83</v>
      </c>
      <c r="B145" s="98"/>
      <c r="C145" s="180"/>
      <c r="D145" s="172"/>
    </row>
    <row r="146" spans="1:4" ht="12.75" customHeight="1" x14ac:dyDescent="0.2">
      <c r="A146" s="169"/>
      <c r="B146" s="91"/>
      <c r="C146" s="180"/>
      <c r="D146" s="172"/>
    </row>
    <row r="147" spans="1:4" ht="12.75" customHeight="1" x14ac:dyDescent="0.2">
      <c r="A147" s="169"/>
      <c r="B147" s="91"/>
      <c r="C147" s="180"/>
      <c r="D147" s="172"/>
    </row>
    <row r="148" spans="1:4" ht="12.75" customHeight="1" x14ac:dyDescent="0.2">
      <c r="A148" s="169"/>
      <c r="B148" s="91"/>
      <c r="C148" s="180"/>
      <c r="D148" s="172"/>
    </row>
    <row r="149" spans="1:4" ht="12.75" customHeight="1" x14ac:dyDescent="0.2">
      <c r="A149" s="169"/>
      <c r="B149" s="91"/>
      <c r="C149" s="180"/>
      <c r="D149" s="172"/>
    </row>
    <row r="150" spans="1:4" ht="12.75" customHeight="1" x14ac:dyDescent="0.2">
      <c r="A150" s="169"/>
      <c r="B150" s="91"/>
      <c r="C150" s="180"/>
      <c r="D150" s="172"/>
    </row>
    <row r="151" spans="1:4" ht="12.75" customHeight="1" x14ac:dyDescent="0.2">
      <c r="A151" s="169"/>
      <c r="B151" s="91"/>
      <c r="C151" s="180"/>
      <c r="D151" s="172"/>
    </row>
    <row r="152" spans="1:4" ht="12.75" customHeight="1" x14ac:dyDescent="0.2">
      <c r="A152" s="169"/>
      <c r="B152" s="91"/>
      <c r="C152" s="180"/>
      <c r="D152" s="172"/>
    </row>
    <row r="153" spans="1:4" ht="12.75" customHeight="1" x14ac:dyDescent="0.2">
      <c r="A153" s="169"/>
      <c r="B153" s="91"/>
      <c r="C153" s="180"/>
      <c r="D153" s="172"/>
    </row>
    <row r="154" spans="1:4" ht="12.75" customHeight="1" x14ac:dyDescent="0.2">
      <c r="A154" s="169"/>
      <c r="B154" s="91"/>
      <c r="C154" s="180"/>
      <c r="D154" s="172"/>
    </row>
    <row r="155" spans="1:4" ht="12.75" customHeight="1" x14ac:dyDescent="0.25">
      <c r="A155" s="175" t="s">
        <v>84</v>
      </c>
      <c r="B155" s="98"/>
      <c r="C155" s="180"/>
      <c r="D155" s="172"/>
    </row>
    <row r="156" spans="1:4" ht="12.75" customHeight="1" x14ac:dyDescent="0.2">
      <c r="A156" s="169"/>
      <c r="B156" s="91"/>
      <c r="C156" s="180"/>
      <c r="D156" s="172"/>
    </row>
    <row r="157" spans="1:4" ht="12.75" customHeight="1" x14ac:dyDescent="0.2">
      <c r="A157" s="169"/>
      <c r="B157" s="91"/>
      <c r="C157" s="180"/>
      <c r="D157" s="172"/>
    </row>
    <row r="158" spans="1:4" ht="12.75" customHeight="1" x14ac:dyDescent="0.2">
      <c r="A158" s="169"/>
      <c r="B158" s="91"/>
      <c r="C158" s="180"/>
      <c r="D158" s="172"/>
    </row>
    <row r="159" spans="1:4" ht="12.75" customHeight="1" x14ac:dyDescent="0.2">
      <c r="A159" s="169"/>
      <c r="B159" s="91"/>
      <c r="C159" s="180"/>
      <c r="D159" s="172"/>
    </row>
    <row r="160" spans="1:4" ht="12.75" customHeight="1" x14ac:dyDescent="0.2">
      <c r="A160" s="169"/>
      <c r="B160" s="91"/>
      <c r="C160" s="180"/>
      <c r="D160" s="172"/>
    </row>
    <row r="161" spans="1:4" ht="12.75" customHeight="1" x14ac:dyDescent="0.2">
      <c r="A161" s="169"/>
      <c r="B161" s="91"/>
      <c r="C161" s="180"/>
      <c r="D161" s="172"/>
    </row>
    <row r="162" spans="1:4" ht="12.75" customHeight="1" x14ac:dyDescent="0.2">
      <c r="A162" s="169"/>
      <c r="B162" s="91"/>
      <c r="C162" s="180"/>
      <c r="D162" s="172"/>
    </row>
    <row r="163" spans="1:4" ht="12.75" customHeight="1" x14ac:dyDescent="0.2">
      <c r="A163" s="169"/>
      <c r="B163" s="91"/>
      <c r="C163" s="180"/>
      <c r="D163" s="172"/>
    </row>
    <row r="164" spans="1:4" ht="12.75" customHeight="1" x14ac:dyDescent="0.2">
      <c r="A164" s="169"/>
      <c r="B164" s="91"/>
      <c r="C164" s="180"/>
      <c r="D164" s="172"/>
    </row>
    <row r="165" spans="1:4" ht="12.75" customHeight="1" x14ac:dyDescent="0.25">
      <c r="A165" s="175" t="s">
        <v>85</v>
      </c>
      <c r="B165" s="98"/>
      <c r="C165" s="180"/>
      <c r="D165" s="172"/>
    </row>
    <row r="166" spans="1:4" ht="12.75" customHeight="1" x14ac:dyDescent="0.2">
      <c r="A166" s="169"/>
      <c r="B166" s="91"/>
      <c r="C166" s="180"/>
      <c r="D166" s="172"/>
    </row>
    <row r="167" spans="1:4" ht="12.75" customHeight="1" x14ac:dyDescent="0.2">
      <c r="A167" s="169"/>
      <c r="B167" s="91"/>
      <c r="C167" s="180"/>
      <c r="D167" s="172"/>
    </row>
    <row r="168" spans="1:4" ht="12.75" customHeight="1" x14ac:dyDescent="0.2">
      <c r="A168" s="169"/>
      <c r="B168" s="91"/>
      <c r="C168" s="180"/>
      <c r="D168" s="172"/>
    </row>
    <row r="169" spans="1:4" ht="12.75" customHeight="1" x14ac:dyDescent="0.2">
      <c r="A169" s="169"/>
      <c r="B169" s="91"/>
      <c r="C169" s="180"/>
      <c r="D169" s="172"/>
    </row>
    <row r="170" spans="1:4" ht="12.75" customHeight="1" x14ac:dyDescent="0.2">
      <c r="A170" s="169"/>
      <c r="B170" s="91"/>
      <c r="C170" s="180"/>
      <c r="D170" s="172"/>
    </row>
    <row r="171" spans="1:4" ht="12.75" customHeight="1" x14ac:dyDescent="0.2">
      <c r="A171" s="169"/>
      <c r="B171" s="91"/>
      <c r="C171" s="180"/>
      <c r="D171" s="172"/>
    </row>
    <row r="172" spans="1:4" ht="12.75" customHeight="1" x14ac:dyDescent="0.2">
      <c r="A172" s="169"/>
      <c r="B172" s="91"/>
      <c r="C172" s="180"/>
      <c r="D172" s="172"/>
    </row>
    <row r="173" spans="1:4" ht="12.75" customHeight="1" x14ac:dyDescent="0.2">
      <c r="A173" s="169"/>
      <c r="B173" s="91"/>
      <c r="C173" s="180"/>
      <c r="D173" s="172"/>
    </row>
    <row r="174" spans="1:4" ht="12.75" customHeight="1" x14ac:dyDescent="0.2">
      <c r="A174" s="169"/>
      <c r="B174" s="91"/>
      <c r="C174" s="180"/>
      <c r="D174" s="172"/>
    </row>
    <row r="175" spans="1:4" ht="12.75" customHeight="1" x14ac:dyDescent="0.25">
      <c r="A175" s="175" t="s">
        <v>6</v>
      </c>
      <c r="B175" s="98"/>
      <c r="C175" s="180"/>
      <c r="D175" s="172"/>
    </row>
    <row r="176" spans="1:4" ht="12.75" customHeight="1" x14ac:dyDescent="0.25">
      <c r="A176" s="167" t="s">
        <v>167</v>
      </c>
      <c r="B176" s="120"/>
      <c r="C176" s="181"/>
      <c r="D176" s="173"/>
    </row>
    <row r="177" spans="1:4" ht="12.75" customHeight="1" x14ac:dyDescent="0.25">
      <c r="A177" s="175" t="s">
        <v>86</v>
      </c>
      <c r="B177" s="98"/>
      <c r="C177" s="104">
        <f>SUM(C134:C176)</f>
        <v>0</v>
      </c>
      <c r="D177" s="174">
        <f>SUM(D134:D176)</f>
        <v>0</v>
      </c>
    </row>
  </sheetData>
  <sheetProtection password="CF28" sheet="1"/>
  <customSheetViews>
    <customSheetView guid="{40555330-83BF-42FA-97D0-8A355A41C0A0}" hiddenColumns="1" state="hidden">
      <selection activeCell="N21" sqref="N21"/>
      <rowBreaks count="2" manualBreakCount="2">
        <brk id="60" max="7" man="1"/>
        <brk id="125" max="7" man="1"/>
      </rowBreaks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35">
    <mergeCell ref="D67:G67"/>
    <mergeCell ref="A55:G55"/>
    <mergeCell ref="A56:G56"/>
    <mergeCell ref="A57:G57"/>
    <mergeCell ref="C65:G65"/>
    <mergeCell ref="A59:G59"/>
    <mergeCell ref="C66:G66"/>
    <mergeCell ref="A3:G3"/>
    <mergeCell ref="A63:G63"/>
    <mergeCell ref="C5:G5"/>
    <mergeCell ref="C6:G6"/>
    <mergeCell ref="C7:G7"/>
    <mergeCell ref="C11:G11"/>
    <mergeCell ref="C12:D12"/>
    <mergeCell ref="D13:G13"/>
    <mergeCell ref="A53:G53"/>
    <mergeCell ref="D17:E17"/>
    <mergeCell ref="A58:G58"/>
    <mergeCell ref="C14:D14"/>
    <mergeCell ref="A54:G54"/>
    <mergeCell ref="D119:E119"/>
    <mergeCell ref="C74:D74"/>
    <mergeCell ref="D75:G75"/>
    <mergeCell ref="C76:D76"/>
    <mergeCell ref="A108:G108"/>
    <mergeCell ref="A109:G109"/>
    <mergeCell ref="A110:G110"/>
    <mergeCell ref="A112:G112"/>
    <mergeCell ref="A106:G106"/>
    <mergeCell ref="C69:G69"/>
    <mergeCell ref="A111:G111"/>
    <mergeCell ref="A107:G107"/>
    <mergeCell ref="C68:G68"/>
    <mergeCell ref="D79:E79"/>
    <mergeCell ref="C73:G73"/>
  </mergeCells>
  <phoneticPr fontId="0" type="noConversion"/>
  <conditionalFormatting sqref="B15:B16 C16 B77 B78:C78">
    <cfRule type="cellIs" dxfId="7" priority="2" stopIfTrue="1" operator="notEqual">
      <formula>"Lønkode"</formula>
    </cfRule>
  </conditionalFormatting>
  <conditionalFormatting sqref="B39:B40">
    <cfRule type="cellIs" dxfId="6" priority="1" stopIfTrue="1" operator="equal">
      <formula>"Fejl! Udfyld ENTEN kr.beløb ELLER Trin"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  <rowBreaks count="2" manualBreakCount="2">
    <brk id="60" max="7" man="1"/>
    <brk id="12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J15"/>
  <sheetViews>
    <sheetView workbookViewId="0">
      <selection activeCell="B11" sqref="B11"/>
    </sheetView>
  </sheetViews>
  <sheetFormatPr defaultColWidth="9.33203125" defaultRowHeight="14.25" x14ac:dyDescent="0.2"/>
  <cols>
    <col min="1" max="1" width="40.33203125" style="471" bestFit="1" customWidth="1"/>
    <col min="2" max="2" width="16" style="471" bestFit="1" customWidth="1"/>
    <col min="3" max="3" width="22.1640625" style="471" customWidth="1"/>
    <col min="4" max="4" width="22.6640625" style="471" customWidth="1"/>
    <col min="5" max="5" width="15" style="471" customWidth="1"/>
    <col min="6" max="16384" width="9.33203125" style="471"/>
  </cols>
  <sheetData>
    <row r="1" spans="1:10" ht="15" x14ac:dyDescent="0.25">
      <c r="A1" s="469" t="s">
        <v>757</v>
      </c>
      <c r="B1" s="470"/>
    </row>
    <row r="2" spans="1:10" x14ac:dyDescent="0.2">
      <c r="A2" s="471" t="s">
        <v>148</v>
      </c>
      <c r="B2" s="472">
        <v>46113</v>
      </c>
      <c r="C2" s="471" t="str">
        <f>TEXT(B2,"d. mmmm åååå")</f>
        <v>1. april 2026</v>
      </c>
      <c r="D2" s="471" t="str">
        <f>UPPER(C2)</f>
        <v>1. APRIL 2026</v>
      </c>
      <c r="E2" s="471" t="str">
        <f>TEXT(B2,"d/m-åååå")</f>
        <v>1/4-2026</v>
      </c>
      <c r="H2" s="473" t="s">
        <v>755</v>
      </c>
      <c r="I2" s="473"/>
      <c r="J2" s="473"/>
    </row>
    <row r="3" spans="1:10" x14ac:dyDescent="0.2">
      <c r="B3" s="474"/>
    </row>
    <row r="4" spans="1:10" x14ac:dyDescent="0.2">
      <c r="B4" s="470"/>
    </row>
    <row r="5" spans="1:10" x14ac:dyDescent="0.2">
      <c r="A5" s="471" t="s">
        <v>756</v>
      </c>
      <c r="B5" s="475">
        <v>65.337800000000001</v>
      </c>
      <c r="C5" s="471" t="str">
        <f>+Dato2</f>
        <v>1. april 2026</v>
      </c>
    </row>
    <row r="6" spans="1:10" x14ac:dyDescent="0.2">
      <c r="A6" s="471" t="s">
        <v>278</v>
      </c>
      <c r="B6" s="476">
        <v>36616</v>
      </c>
    </row>
    <row r="7" spans="1:10" x14ac:dyDescent="0.2">
      <c r="B7" s="477"/>
    </row>
    <row r="8" spans="1:10" ht="15" x14ac:dyDescent="0.25">
      <c r="A8" s="469" t="s">
        <v>277</v>
      </c>
      <c r="B8" s="477"/>
    </row>
    <row r="9" spans="1:10" x14ac:dyDescent="0.2">
      <c r="A9" s="471" t="s">
        <v>148</v>
      </c>
      <c r="B9" s="474">
        <f>+Dato1</f>
        <v>46113</v>
      </c>
      <c r="C9" s="471" t="str">
        <f>TEXT(B9,"d. mmmm åååå")</f>
        <v>1. april 2026</v>
      </c>
      <c r="D9" s="471" t="str">
        <f>UPPER(C9)</f>
        <v>1. APRIL 2026</v>
      </c>
      <c r="E9" s="471" t="str">
        <f>TEXT(B9,"d/m-åååå")</f>
        <v>1/4-2026</v>
      </c>
    </row>
    <row r="10" spans="1:10" x14ac:dyDescent="0.2">
      <c r="B10" s="474"/>
    </row>
    <row r="11" spans="1:10" x14ac:dyDescent="0.2">
      <c r="A11" s="471" t="s">
        <v>756</v>
      </c>
      <c r="B11" s="478">
        <v>45.015500000000003</v>
      </c>
      <c r="C11" s="479" t="str">
        <f>+Dato2</f>
        <v>1. april 2026</v>
      </c>
    </row>
    <row r="12" spans="1:10" x14ac:dyDescent="0.2">
      <c r="A12" s="471" t="s">
        <v>278</v>
      </c>
      <c r="B12" s="476">
        <v>38718</v>
      </c>
    </row>
    <row r="13" spans="1:10" x14ac:dyDescent="0.2">
      <c r="B13" s="480"/>
    </row>
    <row r="14" spans="1:10" ht="15" x14ac:dyDescent="0.25">
      <c r="A14" s="469"/>
    </row>
    <row r="15" spans="1:10" x14ac:dyDescent="0.2">
      <c r="A15" s="481"/>
      <c r="B15" s="482"/>
    </row>
  </sheetData>
  <customSheetViews>
    <customSheetView guid="{40555330-83BF-42FA-97D0-8A355A41C0A0}" state="hidden">
      <selection activeCell="A14" sqref="A14"/>
      <pageMargins left="0.75" right="0.75" top="1" bottom="1" header="0" footer="0"/>
      <pageSetup paperSize="9" orientation="portrait" horizontalDpi="4294967293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horizontalDpi="4294967293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E60"/>
  <sheetViews>
    <sheetView topLeftCell="A24" zoomScale="130" zoomScaleNormal="130" workbookViewId="0">
      <pane xSplit="2" topLeftCell="R1" activePane="topRight" state="frozen"/>
      <selection activeCell="M24" sqref="M24"/>
      <selection pane="topRight" activeCell="B43" sqref="B43"/>
    </sheetView>
  </sheetViews>
  <sheetFormatPr defaultColWidth="37.5" defaultRowHeight="12.75" x14ac:dyDescent="0.2"/>
  <cols>
    <col min="1" max="1" width="12.5" style="397" customWidth="1"/>
    <col min="2" max="2" width="71.83203125" style="398" customWidth="1"/>
    <col min="3" max="3" width="108.83203125" style="398" customWidth="1"/>
    <col min="4" max="22" width="37.5" style="398" customWidth="1"/>
    <col min="23" max="23" width="37.5" customWidth="1"/>
    <col min="24" max="28" width="37.5" style="398" customWidth="1"/>
    <col min="29" max="29" width="37.5" style="399" customWidth="1"/>
    <col min="30" max="32" width="37.5" style="398" customWidth="1"/>
    <col min="33" max="33" width="37.5" style="399" customWidth="1"/>
    <col min="34" max="34" width="37.5" style="435" customWidth="1"/>
    <col min="35" max="35" width="37.5" style="399" customWidth="1"/>
    <col min="36" max="38" width="37.5" style="397" customWidth="1"/>
    <col min="39" max="16384" width="37.5" style="398"/>
  </cols>
  <sheetData>
    <row r="1" spans="1:57" s="436" customFormat="1" x14ac:dyDescent="0.2">
      <c r="A1" s="439" t="s">
        <v>716</v>
      </c>
      <c r="B1" s="436" t="s">
        <v>717</v>
      </c>
      <c r="C1" s="436" t="s">
        <v>718</v>
      </c>
      <c r="D1" s="436">
        <v>4</v>
      </c>
      <c r="E1" s="436">
        <v>5</v>
      </c>
      <c r="F1" s="436">
        <v>6</v>
      </c>
      <c r="G1" s="436">
        <v>7</v>
      </c>
      <c r="H1" s="436">
        <v>8</v>
      </c>
      <c r="I1" s="436">
        <v>9</v>
      </c>
      <c r="J1" s="436">
        <v>10</v>
      </c>
      <c r="K1" s="436">
        <v>11</v>
      </c>
      <c r="L1" s="436">
        <v>12</v>
      </c>
      <c r="M1" s="436">
        <v>13</v>
      </c>
      <c r="N1" s="436">
        <v>14</v>
      </c>
      <c r="O1" s="436">
        <v>15</v>
      </c>
      <c r="P1" s="436">
        <v>16</v>
      </c>
      <c r="Q1" s="436">
        <v>17</v>
      </c>
      <c r="R1" s="436">
        <v>18</v>
      </c>
      <c r="S1" s="436">
        <v>19</v>
      </c>
      <c r="T1" s="436">
        <v>20</v>
      </c>
      <c r="U1" s="436">
        <v>21</v>
      </c>
      <c r="V1" s="436">
        <v>22</v>
      </c>
      <c r="W1" s="436">
        <v>23</v>
      </c>
      <c r="X1" s="436">
        <v>24</v>
      </c>
      <c r="Y1" s="436">
        <v>25</v>
      </c>
      <c r="Z1" s="436">
        <v>26</v>
      </c>
      <c r="AA1" s="436">
        <v>27</v>
      </c>
      <c r="AB1" s="436">
        <v>28</v>
      </c>
      <c r="AC1" s="436">
        <v>29</v>
      </c>
      <c r="AD1" s="436">
        <v>30</v>
      </c>
      <c r="AE1" s="436">
        <v>31</v>
      </c>
      <c r="AF1" s="436">
        <v>32</v>
      </c>
      <c r="AG1" s="436">
        <v>33</v>
      </c>
      <c r="AH1" s="437">
        <v>34</v>
      </c>
      <c r="AI1" s="438">
        <v>35</v>
      </c>
      <c r="AJ1" s="436">
        <v>36</v>
      </c>
      <c r="AK1" s="436">
        <v>37</v>
      </c>
      <c r="AL1" s="436">
        <v>38</v>
      </c>
      <c r="AM1" s="436">
        <v>39</v>
      </c>
      <c r="AN1" s="436">
        <v>40</v>
      </c>
      <c r="AO1" s="436">
        <v>41</v>
      </c>
      <c r="AP1" s="436">
        <v>42</v>
      </c>
      <c r="AQ1" s="436">
        <v>43</v>
      </c>
      <c r="AR1" s="436">
        <v>44</v>
      </c>
      <c r="AS1" s="436">
        <v>45</v>
      </c>
    </row>
    <row r="2" spans="1:57" x14ac:dyDescent="0.2">
      <c r="A2" s="397">
        <v>3001</v>
      </c>
      <c r="B2" s="398" t="s">
        <v>415</v>
      </c>
      <c r="C2" s="398" t="s">
        <v>418</v>
      </c>
      <c r="D2" s="398" t="s">
        <v>4</v>
      </c>
      <c r="E2" s="399" t="s">
        <v>416</v>
      </c>
      <c r="F2" s="399" t="s">
        <v>420</v>
      </c>
      <c r="G2" s="399" t="s">
        <v>510</v>
      </c>
      <c r="H2" s="399" t="s">
        <v>458</v>
      </c>
      <c r="I2" s="399" t="s">
        <v>510</v>
      </c>
      <c r="J2" s="399" t="s">
        <v>461</v>
      </c>
      <c r="K2" s="399" t="s">
        <v>461</v>
      </c>
      <c r="L2" s="399" t="s">
        <v>461</v>
      </c>
      <c r="M2" s="399" t="s">
        <v>461</v>
      </c>
      <c r="N2" s="399" t="s">
        <v>461</v>
      </c>
      <c r="O2" s="399" t="s">
        <v>461</v>
      </c>
      <c r="P2" s="398" t="s">
        <v>461</v>
      </c>
      <c r="Q2" s="398" t="s">
        <v>461</v>
      </c>
      <c r="R2" s="398" t="s">
        <v>461</v>
      </c>
      <c r="S2" s="398" t="s">
        <v>461</v>
      </c>
      <c r="T2" s="398" t="s">
        <v>461</v>
      </c>
      <c r="U2" s="398" t="s">
        <v>461</v>
      </c>
      <c r="V2" s="398" t="s">
        <v>461</v>
      </c>
      <c r="W2" s="398" t="s">
        <v>461</v>
      </c>
      <c r="X2" s="398" t="s">
        <v>461</v>
      </c>
      <c r="Y2" s="398" t="s">
        <v>461</v>
      </c>
      <c r="Z2" s="398" t="s">
        <v>461</v>
      </c>
      <c r="AA2" s="398" t="s">
        <v>461</v>
      </c>
      <c r="AB2" s="398" t="s">
        <v>461</v>
      </c>
      <c r="AC2" s="399" t="s">
        <v>461</v>
      </c>
      <c r="AD2" s="398" t="s">
        <v>269</v>
      </c>
      <c r="AE2" s="398" t="s">
        <v>732</v>
      </c>
      <c r="AF2" s="398" t="s">
        <v>269</v>
      </c>
      <c r="AG2" s="398" t="s">
        <v>731</v>
      </c>
      <c r="AH2" s="429" t="s">
        <v>511</v>
      </c>
      <c r="AI2" s="400" t="s">
        <v>461</v>
      </c>
      <c r="AJ2" s="399" t="s">
        <v>512</v>
      </c>
      <c r="AK2" s="398" t="s">
        <v>461</v>
      </c>
      <c r="AL2" s="399" t="s">
        <v>513</v>
      </c>
      <c r="AM2" s="398" t="s">
        <v>461</v>
      </c>
      <c r="AN2" s="398" t="s">
        <v>514</v>
      </c>
      <c r="AO2" s="398" t="s">
        <v>461</v>
      </c>
      <c r="AP2" s="398" t="s">
        <v>466</v>
      </c>
      <c r="AQ2" s="400" t="s">
        <v>471</v>
      </c>
      <c r="AR2" s="398" t="s">
        <v>441</v>
      </c>
      <c r="AS2" s="398" t="s">
        <v>461</v>
      </c>
      <c r="AV2" s="397" t="s">
        <v>343</v>
      </c>
      <c r="AW2" s="397"/>
      <c r="AX2" s="401">
        <v>0.1852</v>
      </c>
      <c r="AY2" s="397" t="s">
        <v>344</v>
      </c>
      <c r="AZ2" s="398" t="s">
        <v>375</v>
      </c>
      <c r="BB2" s="398" t="s">
        <v>441</v>
      </c>
      <c r="BC2" s="398" t="s">
        <v>419</v>
      </c>
    </row>
    <row r="3" spans="1:57" x14ac:dyDescent="0.2">
      <c r="A3" s="397">
        <v>3011</v>
      </c>
      <c r="B3" s="398" t="s">
        <v>742</v>
      </c>
      <c r="D3" s="398" t="s">
        <v>4</v>
      </c>
      <c r="E3" s="398" t="s">
        <v>733</v>
      </c>
      <c r="F3" s="398" t="s">
        <v>4</v>
      </c>
      <c r="G3" s="398" t="s">
        <v>461</v>
      </c>
      <c r="H3" s="398" t="s">
        <v>461</v>
      </c>
      <c r="I3" s="398" t="s">
        <v>734</v>
      </c>
      <c r="J3" s="399" t="s">
        <v>461</v>
      </c>
      <c r="K3" s="398" t="s">
        <v>735</v>
      </c>
      <c r="L3" s="399" t="s">
        <v>420</v>
      </c>
      <c r="M3" s="398" t="s">
        <v>461</v>
      </c>
      <c r="N3" s="399" t="s">
        <v>458</v>
      </c>
      <c r="O3" s="399" t="s">
        <v>461</v>
      </c>
      <c r="P3" s="398" t="s">
        <v>461</v>
      </c>
      <c r="Q3" s="398" t="s">
        <v>461</v>
      </c>
      <c r="R3" s="398" t="s">
        <v>461</v>
      </c>
      <c r="S3" s="398" t="s">
        <v>461</v>
      </c>
      <c r="T3" s="398" t="s">
        <v>461</v>
      </c>
      <c r="U3" s="398" t="s">
        <v>461</v>
      </c>
      <c r="V3" s="398" t="s">
        <v>679</v>
      </c>
      <c r="W3" s="398" t="s">
        <v>681</v>
      </c>
      <c r="X3" s="398" t="s">
        <v>461</v>
      </c>
      <c r="Y3" s="398" t="s">
        <v>680</v>
      </c>
      <c r="Z3" s="398" t="s">
        <v>461</v>
      </c>
      <c r="AA3" s="398" t="s">
        <v>461</v>
      </c>
      <c r="AB3" s="398" t="s">
        <v>461</v>
      </c>
      <c r="AC3" s="399" t="s">
        <v>461</v>
      </c>
      <c r="AD3" s="398" t="s">
        <v>461</v>
      </c>
      <c r="AE3" s="398" t="s">
        <v>461</v>
      </c>
      <c r="AF3" s="398" t="s">
        <v>269</v>
      </c>
      <c r="AG3" s="399" t="s">
        <v>461</v>
      </c>
      <c r="AH3" s="429" t="s">
        <v>464</v>
      </c>
      <c r="AI3" s="400" t="s">
        <v>461</v>
      </c>
      <c r="AJ3" s="399" t="s">
        <v>512</v>
      </c>
      <c r="AK3" s="398" t="s">
        <v>461</v>
      </c>
      <c r="AL3" s="399" t="s">
        <v>513</v>
      </c>
      <c r="AM3" s="398" t="s">
        <v>461</v>
      </c>
      <c r="AN3" s="398" t="s">
        <v>514</v>
      </c>
      <c r="AO3" s="398" t="s">
        <v>461</v>
      </c>
      <c r="AP3" s="398" t="s">
        <v>466</v>
      </c>
      <c r="AQ3" s="400" t="s">
        <v>471</v>
      </c>
      <c r="AR3" s="398" t="s">
        <v>441</v>
      </c>
      <c r="AS3" s="398" t="s">
        <v>461</v>
      </c>
      <c r="AV3" s="398" t="s">
        <v>303</v>
      </c>
      <c r="AW3" s="397"/>
      <c r="AX3" s="401">
        <v>0.17699999999999999</v>
      </c>
      <c r="AY3" s="397" t="s">
        <v>345</v>
      </c>
      <c r="AZ3" s="398" t="s">
        <v>378</v>
      </c>
      <c r="BB3" s="398" t="s">
        <v>441</v>
      </c>
      <c r="BC3" s="398" t="s">
        <v>196</v>
      </c>
    </row>
    <row r="4" spans="1:57" x14ac:dyDescent="0.2">
      <c r="A4" s="397">
        <v>3031</v>
      </c>
      <c r="B4" s="398" t="s">
        <v>307</v>
      </c>
      <c r="C4" s="398" t="s">
        <v>539</v>
      </c>
      <c r="D4" s="398" t="s">
        <v>540</v>
      </c>
      <c r="E4" s="398" t="s">
        <v>556</v>
      </c>
      <c r="F4" s="398" t="s">
        <v>541</v>
      </c>
      <c r="G4" s="398" t="s">
        <v>542</v>
      </c>
      <c r="H4" s="399" t="s">
        <v>543</v>
      </c>
      <c r="I4" s="398" t="s">
        <v>544</v>
      </c>
      <c r="J4" s="399" t="s">
        <v>420</v>
      </c>
      <c r="K4" s="399" t="s">
        <v>545</v>
      </c>
      <c r="L4" s="399" t="s">
        <v>546</v>
      </c>
      <c r="M4" s="399" t="s">
        <v>547</v>
      </c>
      <c r="N4" s="399" t="s">
        <v>458</v>
      </c>
      <c r="O4" s="398" t="s">
        <v>506</v>
      </c>
      <c r="P4" s="398" t="s">
        <v>461</v>
      </c>
      <c r="Q4" s="398" t="s">
        <v>461</v>
      </c>
      <c r="R4" s="398" t="s">
        <v>461</v>
      </c>
      <c r="S4" s="398" t="s">
        <v>461</v>
      </c>
      <c r="T4" s="398" t="s">
        <v>461</v>
      </c>
      <c r="U4" s="398" t="s">
        <v>461</v>
      </c>
      <c r="V4" s="398" t="s">
        <v>679</v>
      </c>
      <c r="W4" s="398" t="s">
        <v>680</v>
      </c>
      <c r="X4" s="398" t="s">
        <v>548</v>
      </c>
      <c r="Y4" s="398" t="s">
        <v>549</v>
      </c>
      <c r="Z4" s="398" t="s">
        <v>461</v>
      </c>
      <c r="AA4" s="398" t="s">
        <v>550</v>
      </c>
      <c r="AB4" s="398" t="s">
        <v>461</v>
      </c>
      <c r="AC4" s="399" t="s">
        <v>551</v>
      </c>
      <c r="AD4" s="398" t="s">
        <v>552</v>
      </c>
      <c r="AE4" s="398" t="s">
        <v>553</v>
      </c>
      <c r="AF4" s="398" t="s">
        <v>461</v>
      </c>
      <c r="AG4" s="399" t="s">
        <v>551</v>
      </c>
      <c r="AH4" s="429" t="s">
        <v>464</v>
      </c>
      <c r="AI4" s="400" t="s">
        <v>554</v>
      </c>
      <c r="AJ4" s="399" t="s">
        <v>512</v>
      </c>
      <c r="AK4" s="398" t="s">
        <v>451</v>
      </c>
      <c r="AL4" s="399" t="s">
        <v>461</v>
      </c>
      <c r="AM4" s="398" t="s">
        <v>461</v>
      </c>
      <c r="AN4" s="398" t="s">
        <v>514</v>
      </c>
      <c r="AO4" s="398" t="s">
        <v>476</v>
      </c>
      <c r="AP4" s="398" t="s">
        <v>466</v>
      </c>
      <c r="AQ4" s="400" t="s">
        <v>471</v>
      </c>
      <c r="AR4" s="398" t="s">
        <v>441</v>
      </c>
      <c r="AS4" s="398" t="s">
        <v>555</v>
      </c>
      <c r="AV4" s="399" t="s">
        <v>347</v>
      </c>
      <c r="AW4" s="397" t="s">
        <v>346</v>
      </c>
      <c r="AX4" s="401">
        <v>0.14099999999999999</v>
      </c>
      <c r="AY4" s="397" t="s">
        <v>345</v>
      </c>
      <c r="AZ4" s="398" t="s">
        <v>333</v>
      </c>
      <c r="BB4" s="398" t="s">
        <v>441</v>
      </c>
      <c r="BC4" s="398" t="s">
        <v>223</v>
      </c>
    </row>
    <row r="5" spans="1:57" x14ac:dyDescent="0.2">
      <c r="A5" s="397">
        <v>3101</v>
      </c>
      <c r="B5" s="398" t="s">
        <v>414</v>
      </c>
      <c r="D5" s="398" t="s">
        <v>4</v>
      </c>
      <c r="E5" s="398" t="s">
        <v>417</v>
      </c>
      <c r="F5" s="399" t="s">
        <v>420</v>
      </c>
      <c r="G5" s="398" t="s">
        <v>461</v>
      </c>
      <c r="H5" s="399" t="s">
        <v>458</v>
      </c>
      <c r="I5" s="398" t="s">
        <v>461</v>
      </c>
      <c r="J5" s="399" t="s">
        <v>461</v>
      </c>
      <c r="K5" s="399" t="s">
        <v>461</v>
      </c>
      <c r="L5" s="399" t="s">
        <v>461</v>
      </c>
      <c r="M5" s="399" t="s">
        <v>461</v>
      </c>
      <c r="N5" s="399" t="s">
        <v>461</v>
      </c>
      <c r="O5" s="399" t="s">
        <v>461</v>
      </c>
      <c r="P5" s="398" t="s">
        <v>461</v>
      </c>
      <c r="Q5" s="398" t="s">
        <v>461</v>
      </c>
      <c r="R5" s="398" t="s">
        <v>461</v>
      </c>
      <c r="S5" s="398" t="s">
        <v>461</v>
      </c>
      <c r="T5" s="398" t="s">
        <v>461</v>
      </c>
      <c r="U5" s="398" t="s">
        <v>461</v>
      </c>
      <c r="V5" s="398" t="s">
        <v>679</v>
      </c>
      <c r="W5" s="398" t="s">
        <v>681</v>
      </c>
      <c r="X5" s="398" t="s">
        <v>711</v>
      </c>
      <c r="Y5" s="398" t="s">
        <v>682</v>
      </c>
      <c r="Z5" s="398" t="s">
        <v>461</v>
      </c>
      <c r="AA5" s="398" t="s">
        <v>461</v>
      </c>
      <c r="AB5" s="398" t="s">
        <v>461</v>
      </c>
      <c r="AC5" s="399" t="s">
        <v>461</v>
      </c>
      <c r="AD5" s="398" t="s">
        <v>461</v>
      </c>
      <c r="AE5" s="398" t="s">
        <v>461</v>
      </c>
      <c r="AF5" s="398" t="s">
        <v>269</v>
      </c>
      <c r="AG5" s="399" t="s">
        <v>461</v>
      </c>
      <c r="AH5" s="429" t="s">
        <v>464</v>
      </c>
      <c r="AI5" s="400" t="s">
        <v>461</v>
      </c>
      <c r="AJ5" s="399" t="s">
        <v>512</v>
      </c>
      <c r="AK5" s="398" t="s">
        <v>461</v>
      </c>
      <c r="AL5" s="399" t="s">
        <v>513</v>
      </c>
      <c r="AM5" s="398" t="s">
        <v>461</v>
      </c>
      <c r="AN5" s="398" t="s">
        <v>514</v>
      </c>
      <c r="AO5" s="398" t="s">
        <v>461</v>
      </c>
      <c r="AP5" s="398" t="s">
        <v>466</v>
      </c>
      <c r="AQ5" s="400" t="s">
        <v>471</v>
      </c>
      <c r="AR5" s="398" t="s">
        <v>441</v>
      </c>
      <c r="AS5" s="398" t="s">
        <v>461</v>
      </c>
      <c r="AV5" s="399" t="s">
        <v>348</v>
      </c>
      <c r="AW5" s="397"/>
      <c r="AX5" s="401">
        <v>0.17499999999999999</v>
      </c>
      <c r="AY5" s="397" t="s">
        <v>345</v>
      </c>
      <c r="AZ5" s="398" t="s">
        <v>349</v>
      </c>
      <c r="BA5" s="398" t="s">
        <v>361</v>
      </c>
      <c r="BB5" s="398" t="s">
        <v>441</v>
      </c>
      <c r="BC5" s="398" t="s">
        <v>197</v>
      </c>
    </row>
    <row r="6" spans="1:57" x14ac:dyDescent="0.2">
      <c r="A6" s="397">
        <v>3112</v>
      </c>
      <c r="B6" s="398" t="s">
        <v>569</v>
      </c>
      <c r="C6" s="398" t="s">
        <v>557</v>
      </c>
      <c r="D6" s="398" t="s">
        <v>558</v>
      </c>
      <c r="E6" s="398" t="s">
        <v>570</v>
      </c>
      <c r="F6" s="399" t="s">
        <v>559</v>
      </c>
      <c r="G6" s="398" t="s">
        <v>560</v>
      </c>
      <c r="H6" s="399" t="s">
        <v>561</v>
      </c>
      <c r="I6" s="398" t="s">
        <v>562</v>
      </c>
      <c r="J6" s="399" t="s">
        <v>563</v>
      </c>
      <c r="K6" s="399" t="s">
        <v>564</v>
      </c>
      <c r="L6" s="399" t="s">
        <v>420</v>
      </c>
      <c r="M6" s="399" t="s">
        <v>565</v>
      </c>
      <c r="N6" s="399" t="s">
        <v>458</v>
      </c>
      <c r="O6" s="399" t="s">
        <v>566</v>
      </c>
      <c r="P6" s="398" t="s">
        <v>461</v>
      </c>
      <c r="Q6" s="398" t="s">
        <v>461</v>
      </c>
      <c r="R6" s="398" t="s">
        <v>461</v>
      </c>
      <c r="S6" s="398" t="s">
        <v>461</v>
      </c>
      <c r="T6" s="398" t="s">
        <v>461</v>
      </c>
      <c r="U6" s="398" t="s">
        <v>461</v>
      </c>
      <c r="V6" s="398" t="s">
        <v>461</v>
      </c>
      <c r="W6" s="398" t="s">
        <v>461</v>
      </c>
      <c r="X6" s="398" t="s">
        <v>461</v>
      </c>
      <c r="Y6" s="398" t="s">
        <v>461</v>
      </c>
      <c r="Z6" s="398" t="s">
        <v>461</v>
      </c>
      <c r="AA6" s="398" t="s">
        <v>461</v>
      </c>
      <c r="AB6" s="398" t="s">
        <v>461</v>
      </c>
      <c r="AC6" s="399" t="s">
        <v>461</v>
      </c>
      <c r="AD6" s="398" t="s">
        <v>461</v>
      </c>
      <c r="AE6" s="398" t="s">
        <v>461</v>
      </c>
      <c r="AF6" s="398" t="s">
        <v>269</v>
      </c>
      <c r="AG6" s="399" t="s">
        <v>567</v>
      </c>
      <c r="AH6" s="429" t="s">
        <v>464</v>
      </c>
      <c r="AI6" s="400" t="s">
        <v>534</v>
      </c>
      <c r="AJ6" s="399" t="s">
        <v>512</v>
      </c>
      <c r="AK6" s="398" t="s">
        <v>333</v>
      </c>
      <c r="AL6" s="399" t="s">
        <v>461</v>
      </c>
      <c r="AM6" s="398" t="s">
        <v>461</v>
      </c>
      <c r="AN6" s="398" t="s">
        <v>514</v>
      </c>
      <c r="AO6" s="398" t="s">
        <v>568</v>
      </c>
      <c r="AP6" s="398" t="s">
        <v>466</v>
      </c>
      <c r="AQ6" s="400" t="s">
        <v>471</v>
      </c>
      <c r="AR6" s="398" t="s">
        <v>441</v>
      </c>
      <c r="AS6" s="398" t="s">
        <v>198</v>
      </c>
      <c r="AV6" s="397"/>
      <c r="AW6" s="397"/>
      <c r="AX6" s="401"/>
      <c r="AY6" s="397"/>
    </row>
    <row r="7" spans="1:57" x14ac:dyDescent="0.2">
      <c r="A7" s="397">
        <v>3151</v>
      </c>
      <c r="B7" s="398" t="s">
        <v>40</v>
      </c>
      <c r="D7" s="398" t="s">
        <v>4</v>
      </c>
      <c r="F7" s="399" t="s">
        <v>420</v>
      </c>
      <c r="G7" s="398" t="s">
        <v>461</v>
      </c>
      <c r="H7" s="399" t="s">
        <v>458</v>
      </c>
      <c r="I7" s="398" t="s">
        <v>461</v>
      </c>
      <c r="J7" s="399" t="s">
        <v>461</v>
      </c>
      <c r="K7" s="399" t="s">
        <v>461</v>
      </c>
      <c r="L7" s="399" t="s">
        <v>461</v>
      </c>
      <c r="M7" s="399" t="s">
        <v>461</v>
      </c>
      <c r="N7" s="399" t="s">
        <v>461</v>
      </c>
      <c r="O7" s="399" t="s">
        <v>461</v>
      </c>
      <c r="P7" s="398" t="s">
        <v>461</v>
      </c>
      <c r="Q7" s="398" t="s">
        <v>461</v>
      </c>
      <c r="R7" s="398" t="s">
        <v>461</v>
      </c>
      <c r="S7" s="398" t="s">
        <v>461</v>
      </c>
      <c r="T7" s="398" t="s">
        <v>461</v>
      </c>
      <c r="U7" s="398" t="s">
        <v>461</v>
      </c>
      <c r="V7" s="398" t="s">
        <v>461</v>
      </c>
      <c r="W7" s="398" t="s">
        <v>461</v>
      </c>
      <c r="X7" s="398" t="s">
        <v>461</v>
      </c>
      <c r="Y7" s="398" t="s">
        <v>461</v>
      </c>
      <c r="Z7" s="398" t="s">
        <v>461</v>
      </c>
      <c r="AA7" s="398" t="s">
        <v>461</v>
      </c>
      <c r="AB7" s="398" t="s">
        <v>461</v>
      </c>
      <c r="AC7" s="399" t="s">
        <v>461</v>
      </c>
      <c r="AD7" s="398" t="s">
        <v>461</v>
      </c>
      <c r="AE7" s="398" t="s">
        <v>461</v>
      </c>
      <c r="AF7" s="398" t="s">
        <v>269</v>
      </c>
      <c r="AG7" s="399" t="s">
        <v>461</v>
      </c>
      <c r="AH7" s="429" t="s">
        <v>464</v>
      </c>
      <c r="AI7" s="400" t="s">
        <v>461</v>
      </c>
      <c r="AJ7" s="399" t="s">
        <v>512</v>
      </c>
      <c r="AK7" s="398" t="s">
        <v>461</v>
      </c>
      <c r="AL7" s="399" t="s">
        <v>513</v>
      </c>
      <c r="AM7" s="398" t="s">
        <v>461</v>
      </c>
      <c r="AN7" s="398" t="s">
        <v>514</v>
      </c>
      <c r="AO7" s="398" t="s">
        <v>461</v>
      </c>
      <c r="AP7" s="398" t="s">
        <v>466</v>
      </c>
      <c r="AQ7" s="400" t="s">
        <v>471</v>
      </c>
      <c r="AR7" s="398" t="s">
        <v>441</v>
      </c>
      <c r="AS7" s="398" t="s">
        <v>461</v>
      </c>
      <c r="AV7" s="397"/>
      <c r="AW7" s="397"/>
      <c r="AX7" s="397"/>
      <c r="AY7" s="397"/>
      <c r="BB7" s="398" t="s">
        <v>441</v>
      </c>
      <c r="BC7" s="398" t="s">
        <v>199</v>
      </c>
    </row>
    <row r="8" spans="1:57" x14ac:dyDescent="0.2">
      <c r="A8" s="397">
        <v>3201</v>
      </c>
      <c r="B8" s="398" t="s">
        <v>572</v>
      </c>
      <c r="C8" s="398" t="s">
        <v>573</v>
      </c>
      <c r="D8" s="398" t="s">
        <v>4</v>
      </c>
      <c r="E8" s="398" t="s">
        <v>574</v>
      </c>
      <c r="F8" s="399" t="s">
        <v>575</v>
      </c>
      <c r="G8" s="398" t="s">
        <v>577</v>
      </c>
      <c r="H8" s="399" t="s">
        <v>576</v>
      </c>
      <c r="I8" s="398" t="s">
        <v>577</v>
      </c>
      <c r="J8" s="399" t="s">
        <v>546</v>
      </c>
      <c r="K8" s="399" t="s">
        <v>578</v>
      </c>
      <c r="L8" s="399" t="s">
        <v>579</v>
      </c>
      <c r="M8" s="399" t="s">
        <v>456</v>
      </c>
      <c r="N8" s="399" t="s">
        <v>461</v>
      </c>
      <c r="O8" s="399" t="s">
        <v>461</v>
      </c>
      <c r="P8" s="398" t="s">
        <v>461</v>
      </c>
      <c r="Q8" s="398" t="s">
        <v>461</v>
      </c>
      <c r="R8" s="398" t="s">
        <v>461</v>
      </c>
      <c r="S8" s="398" t="s">
        <v>461</v>
      </c>
      <c r="T8" s="398" t="s">
        <v>461</v>
      </c>
      <c r="U8" s="398" t="s">
        <v>461</v>
      </c>
      <c r="V8" s="398" t="s">
        <v>679</v>
      </c>
      <c r="W8" s="398" t="s">
        <v>461</v>
      </c>
      <c r="X8" s="398" t="s">
        <v>461</v>
      </c>
      <c r="Y8" s="398" t="s">
        <v>461</v>
      </c>
      <c r="Z8" s="398" t="s">
        <v>461</v>
      </c>
      <c r="AA8" s="398" t="s">
        <v>461</v>
      </c>
      <c r="AB8" s="398" t="s">
        <v>461</v>
      </c>
      <c r="AC8" s="399" t="s">
        <v>461</v>
      </c>
      <c r="AD8" s="398" t="s">
        <v>461</v>
      </c>
      <c r="AE8" s="398" t="s">
        <v>461</v>
      </c>
      <c r="AF8" s="398" t="s">
        <v>269</v>
      </c>
      <c r="AG8" s="399" t="s">
        <v>580</v>
      </c>
      <c r="AH8" s="400" t="s">
        <v>464</v>
      </c>
      <c r="AI8" s="400" t="s">
        <v>534</v>
      </c>
      <c r="AJ8" s="399" t="s">
        <v>512</v>
      </c>
      <c r="AK8" s="398" t="s">
        <v>535</v>
      </c>
      <c r="AL8" s="399" t="s">
        <v>513</v>
      </c>
      <c r="AM8" s="398" t="s">
        <v>581</v>
      </c>
      <c r="AN8" s="398" t="s">
        <v>514</v>
      </c>
      <c r="AO8" s="398" t="s">
        <v>476</v>
      </c>
      <c r="AP8" s="398" t="s">
        <v>466</v>
      </c>
      <c r="AQ8" s="400" t="s">
        <v>471</v>
      </c>
      <c r="AR8" s="398" t="s">
        <v>441</v>
      </c>
      <c r="AS8" s="398" t="s">
        <v>571</v>
      </c>
      <c r="AV8" s="397"/>
      <c r="AW8" s="397"/>
      <c r="AX8" s="401"/>
      <c r="AY8" s="397"/>
    </row>
    <row r="9" spans="1:57" x14ac:dyDescent="0.2">
      <c r="A9" s="397">
        <v>3211</v>
      </c>
      <c r="B9" s="398" t="s">
        <v>286</v>
      </c>
      <c r="D9" s="398" t="s">
        <v>4</v>
      </c>
      <c r="F9" s="399" t="s">
        <v>420</v>
      </c>
      <c r="G9" s="398" t="s">
        <v>461</v>
      </c>
      <c r="H9" s="399" t="s">
        <v>458</v>
      </c>
      <c r="I9" s="398" t="s">
        <v>461</v>
      </c>
      <c r="J9" s="399" t="s">
        <v>461</v>
      </c>
      <c r="K9" s="399" t="s">
        <v>461</v>
      </c>
      <c r="L9" s="399" t="s">
        <v>461</v>
      </c>
      <c r="M9" s="399" t="s">
        <v>461</v>
      </c>
      <c r="N9" s="399" t="s">
        <v>461</v>
      </c>
      <c r="O9" s="399" t="s">
        <v>461</v>
      </c>
      <c r="P9" s="398" t="s">
        <v>461</v>
      </c>
      <c r="Q9" s="398" t="s">
        <v>461</v>
      </c>
      <c r="R9" s="398" t="s">
        <v>461</v>
      </c>
      <c r="S9" s="398" t="s">
        <v>461</v>
      </c>
      <c r="T9" s="398" t="s">
        <v>461</v>
      </c>
      <c r="U9" s="398" t="s">
        <v>461</v>
      </c>
      <c r="V9" s="398" t="s">
        <v>679</v>
      </c>
      <c r="W9" s="398" t="s">
        <v>461</v>
      </c>
      <c r="X9" s="398" t="s">
        <v>461</v>
      </c>
      <c r="Y9" s="398" t="s">
        <v>461</v>
      </c>
      <c r="Z9" s="398" t="s">
        <v>461</v>
      </c>
      <c r="AA9" s="398" t="s">
        <v>461</v>
      </c>
      <c r="AB9" s="398" t="s">
        <v>461</v>
      </c>
      <c r="AC9" s="399" t="s">
        <v>461</v>
      </c>
      <c r="AD9" s="398" t="s">
        <v>461</v>
      </c>
      <c r="AE9" s="398" t="s">
        <v>461</v>
      </c>
      <c r="AF9" s="398" t="s">
        <v>269</v>
      </c>
      <c r="AG9" s="399" t="s">
        <v>461</v>
      </c>
      <c r="AH9" s="429" t="s">
        <v>464</v>
      </c>
      <c r="AI9" s="400" t="s">
        <v>461</v>
      </c>
      <c r="AJ9" s="399" t="s">
        <v>512</v>
      </c>
      <c r="AK9" s="398" t="s">
        <v>461</v>
      </c>
      <c r="AL9" s="399" t="s">
        <v>513</v>
      </c>
      <c r="AM9" s="398" t="s">
        <v>461</v>
      </c>
      <c r="AN9" s="398" t="s">
        <v>514</v>
      </c>
      <c r="AO9" s="398" t="s">
        <v>461</v>
      </c>
      <c r="AP9" s="398" t="s">
        <v>466</v>
      </c>
      <c r="AQ9" s="400" t="s">
        <v>471</v>
      </c>
      <c r="AR9" s="398" t="s">
        <v>441</v>
      </c>
      <c r="AS9" s="398" t="s">
        <v>461</v>
      </c>
      <c r="AV9" s="397" t="s">
        <v>362</v>
      </c>
      <c r="AW9" s="397" t="s">
        <v>363</v>
      </c>
      <c r="AX9" s="401">
        <v>0.1615</v>
      </c>
      <c r="AY9" s="397" t="s">
        <v>360</v>
      </c>
      <c r="AZ9" s="398" t="s">
        <v>364</v>
      </c>
      <c r="BA9" s="398" t="s">
        <v>361</v>
      </c>
      <c r="BB9" s="398" t="s">
        <v>441</v>
      </c>
      <c r="BC9" s="398" t="s">
        <v>200</v>
      </c>
    </row>
    <row r="10" spans="1:57" x14ac:dyDescent="0.2">
      <c r="A10" s="397">
        <v>3303</v>
      </c>
      <c r="B10" s="398" t="s">
        <v>300</v>
      </c>
      <c r="D10" s="398" t="s">
        <v>4</v>
      </c>
      <c r="F10" s="399" t="s">
        <v>420</v>
      </c>
      <c r="G10" s="398" t="s">
        <v>461</v>
      </c>
      <c r="H10" s="399" t="s">
        <v>458</v>
      </c>
      <c r="I10" s="398" t="s">
        <v>461</v>
      </c>
      <c r="J10" s="399" t="s">
        <v>461</v>
      </c>
      <c r="K10" s="399" t="s">
        <v>461</v>
      </c>
      <c r="L10" s="399" t="s">
        <v>461</v>
      </c>
      <c r="M10" s="399" t="s">
        <v>461</v>
      </c>
      <c r="N10" s="399" t="s">
        <v>461</v>
      </c>
      <c r="O10" s="399" t="s">
        <v>461</v>
      </c>
      <c r="P10" s="398" t="s">
        <v>461</v>
      </c>
      <c r="Q10" s="398" t="s">
        <v>461</v>
      </c>
      <c r="R10" s="398" t="s">
        <v>461</v>
      </c>
      <c r="S10" s="398" t="s">
        <v>461</v>
      </c>
      <c r="T10" s="398" t="s">
        <v>461</v>
      </c>
      <c r="U10" s="398" t="s">
        <v>461</v>
      </c>
      <c r="V10" s="398" t="s">
        <v>461</v>
      </c>
      <c r="W10" s="398" t="s">
        <v>461</v>
      </c>
      <c r="X10" s="398" t="s">
        <v>461</v>
      </c>
      <c r="Y10" s="398" t="s">
        <v>461</v>
      </c>
      <c r="Z10" s="398" t="s">
        <v>461</v>
      </c>
      <c r="AA10" s="398" t="s">
        <v>461</v>
      </c>
      <c r="AB10" s="398" t="s">
        <v>461</v>
      </c>
      <c r="AC10" s="399" t="s">
        <v>461</v>
      </c>
      <c r="AD10" s="398" t="s">
        <v>461</v>
      </c>
      <c r="AE10" s="398" t="s">
        <v>461</v>
      </c>
      <c r="AF10" s="398" t="s">
        <v>269</v>
      </c>
      <c r="AG10" s="399" t="s">
        <v>461</v>
      </c>
      <c r="AH10" s="429" t="s">
        <v>464</v>
      </c>
      <c r="AI10" s="400" t="s">
        <v>461</v>
      </c>
      <c r="AJ10" s="399" t="s">
        <v>512</v>
      </c>
      <c r="AK10" s="398" t="s">
        <v>461</v>
      </c>
      <c r="AL10" s="399" t="s">
        <v>513</v>
      </c>
      <c r="AM10" s="398" t="s">
        <v>461</v>
      </c>
      <c r="AN10" s="398" t="s">
        <v>514</v>
      </c>
      <c r="AO10" s="398" t="s">
        <v>461</v>
      </c>
      <c r="AP10" s="398" t="s">
        <v>466</v>
      </c>
      <c r="AQ10" s="400" t="s">
        <v>471</v>
      </c>
      <c r="AR10" s="398" t="s">
        <v>441</v>
      </c>
      <c r="AS10" s="398" t="s">
        <v>461</v>
      </c>
      <c r="AV10" s="397" t="s">
        <v>362</v>
      </c>
      <c r="AW10" s="397" t="s">
        <v>365</v>
      </c>
      <c r="AX10" s="401">
        <v>0.13800000000000001</v>
      </c>
      <c r="AY10" s="397" t="s">
        <v>366</v>
      </c>
      <c r="AZ10" s="398" t="s">
        <v>333</v>
      </c>
      <c r="BB10" s="398" t="s">
        <v>441</v>
      </c>
    </row>
    <row r="11" spans="1:57" x14ac:dyDescent="0.2">
      <c r="A11" s="397">
        <v>3401</v>
      </c>
      <c r="B11" s="398" t="s">
        <v>41</v>
      </c>
      <c r="C11" s="398" t="s">
        <v>787</v>
      </c>
      <c r="D11" s="398" t="s">
        <v>4</v>
      </c>
      <c r="E11" s="398" t="s">
        <v>582</v>
      </c>
      <c r="F11" s="399" t="s">
        <v>420</v>
      </c>
      <c r="G11" s="398" t="s">
        <v>456</v>
      </c>
      <c r="H11" s="399" t="s">
        <v>458</v>
      </c>
      <c r="I11" s="398" t="s">
        <v>584</v>
      </c>
      <c r="J11" s="399" t="s">
        <v>458</v>
      </c>
      <c r="K11" s="398" t="s">
        <v>585</v>
      </c>
      <c r="L11" s="399" t="s">
        <v>458</v>
      </c>
      <c r="M11" s="398" t="s">
        <v>583</v>
      </c>
      <c r="N11" s="399" t="s">
        <v>461</v>
      </c>
      <c r="O11" s="399" t="s">
        <v>461</v>
      </c>
      <c r="P11" s="398" t="s">
        <v>461</v>
      </c>
      <c r="Q11" s="398" t="s">
        <v>461</v>
      </c>
      <c r="R11" s="398" t="s">
        <v>461</v>
      </c>
      <c r="S11" s="398" t="s">
        <v>461</v>
      </c>
      <c r="T11" s="398" t="s">
        <v>461</v>
      </c>
      <c r="U11" s="398" t="s">
        <v>461</v>
      </c>
      <c r="V11" s="398" t="s">
        <v>679</v>
      </c>
      <c r="W11" s="398" t="s">
        <v>461</v>
      </c>
      <c r="X11" s="398" t="s">
        <v>461</v>
      </c>
      <c r="Y11" s="398" t="s">
        <v>461</v>
      </c>
      <c r="Z11" s="398" t="s">
        <v>461</v>
      </c>
      <c r="AA11" s="398" t="s">
        <v>461</v>
      </c>
      <c r="AB11" s="398" t="s">
        <v>461</v>
      </c>
      <c r="AC11" s="399" t="s">
        <v>461</v>
      </c>
      <c r="AD11" s="398" t="s">
        <v>461</v>
      </c>
      <c r="AE11" s="398" t="s">
        <v>461</v>
      </c>
      <c r="AF11" s="398" t="s">
        <v>269</v>
      </c>
      <c r="AG11" s="399" t="s">
        <v>586</v>
      </c>
      <c r="AH11" s="429" t="s">
        <v>464</v>
      </c>
      <c r="AI11" s="400" t="s">
        <v>534</v>
      </c>
      <c r="AJ11" s="399" t="s">
        <v>512</v>
      </c>
      <c r="AK11" s="398" t="s">
        <v>587</v>
      </c>
      <c r="AL11" s="399" t="s">
        <v>513</v>
      </c>
      <c r="AM11" s="398" t="s">
        <v>588</v>
      </c>
      <c r="AN11" s="398" t="s">
        <v>514</v>
      </c>
      <c r="AO11" s="398" t="s">
        <v>476</v>
      </c>
      <c r="AP11" s="398" t="s">
        <v>466</v>
      </c>
      <c r="AQ11" s="400" t="s">
        <v>471</v>
      </c>
      <c r="AR11" s="398" t="s">
        <v>441</v>
      </c>
      <c r="AS11" s="398" t="s">
        <v>201</v>
      </c>
      <c r="AV11" s="397"/>
      <c r="AW11" s="397"/>
      <c r="AX11" s="401"/>
      <c r="AY11" s="397"/>
    </row>
    <row r="12" spans="1:57" x14ac:dyDescent="0.2">
      <c r="A12" s="397">
        <v>3511</v>
      </c>
      <c r="B12" s="398" t="s">
        <v>603</v>
      </c>
      <c r="C12" s="398" t="s">
        <v>589</v>
      </c>
      <c r="D12" s="398" t="s">
        <v>590</v>
      </c>
      <c r="E12" s="398" t="s">
        <v>591</v>
      </c>
      <c r="F12" s="399" t="s">
        <v>592</v>
      </c>
      <c r="G12" s="398" t="s">
        <v>593</v>
      </c>
      <c r="H12" s="399" t="s">
        <v>594</v>
      </c>
      <c r="I12" s="398" t="s">
        <v>596</v>
      </c>
      <c r="J12" s="399" t="s">
        <v>595</v>
      </c>
      <c r="K12" s="398" t="s">
        <v>596</v>
      </c>
      <c r="L12" s="399" t="s">
        <v>597</v>
      </c>
      <c r="M12" s="398" t="s">
        <v>598</v>
      </c>
      <c r="N12" s="399" t="s">
        <v>599</v>
      </c>
      <c r="O12" s="399" t="s">
        <v>600</v>
      </c>
      <c r="P12" s="398" t="s">
        <v>601</v>
      </c>
      <c r="Q12" s="398" t="s">
        <v>602</v>
      </c>
      <c r="R12" s="398" t="s">
        <v>420</v>
      </c>
      <c r="S12" s="398" t="s">
        <v>604</v>
      </c>
      <c r="T12" s="398" t="s">
        <v>458</v>
      </c>
      <c r="U12" s="398" t="s">
        <v>605</v>
      </c>
      <c r="V12" s="398" t="s">
        <v>458</v>
      </c>
      <c r="W12" s="398" t="s">
        <v>606</v>
      </c>
      <c r="X12" s="398" t="s">
        <v>461</v>
      </c>
      <c r="Y12" s="398" t="s">
        <v>461</v>
      </c>
      <c r="Z12" s="398" t="s">
        <v>461</v>
      </c>
      <c r="AA12" s="398" t="s">
        <v>461</v>
      </c>
      <c r="AB12" s="398" t="s">
        <v>461</v>
      </c>
      <c r="AC12" s="399" t="s">
        <v>461</v>
      </c>
      <c r="AD12" s="398" t="s">
        <v>461</v>
      </c>
      <c r="AE12" s="398" t="s">
        <v>461</v>
      </c>
      <c r="AF12" s="398" t="s">
        <v>269</v>
      </c>
      <c r="AG12" s="399" t="s">
        <v>607</v>
      </c>
      <c r="AH12" s="429" t="s">
        <v>464</v>
      </c>
      <c r="AI12" s="400" t="s">
        <v>534</v>
      </c>
      <c r="AJ12" s="399" t="s">
        <v>512</v>
      </c>
      <c r="AK12" s="398" t="s">
        <v>333</v>
      </c>
      <c r="AL12" s="399" t="s">
        <v>461</v>
      </c>
      <c r="AM12" s="398" t="s">
        <v>461</v>
      </c>
      <c r="AN12" s="398" t="s">
        <v>514</v>
      </c>
      <c r="AO12" s="398" t="s">
        <v>476</v>
      </c>
      <c r="AP12" s="398" t="s">
        <v>466</v>
      </c>
      <c r="AQ12" s="400" t="s">
        <v>471</v>
      </c>
      <c r="AR12" s="398" t="s">
        <v>441</v>
      </c>
      <c r="AS12" s="398" t="s">
        <v>608</v>
      </c>
      <c r="AV12" s="397"/>
      <c r="AW12" s="397"/>
      <c r="AX12" s="401"/>
      <c r="AY12" s="397"/>
    </row>
    <row r="13" spans="1:57" x14ac:dyDescent="0.2">
      <c r="A13" s="397">
        <v>4001</v>
      </c>
      <c r="B13" s="398" t="s">
        <v>500</v>
      </c>
      <c r="C13" s="398" t="s">
        <v>502</v>
      </c>
      <c r="D13" s="398" t="s">
        <v>501</v>
      </c>
      <c r="E13" s="398" t="s">
        <v>504</v>
      </c>
      <c r="F13" s="399" t="s">
        <v>503</v>
      </c>
      <c r="G13" s="398" t="s">
        <v>505</v>
      </c>
      <c r="H13" s="399" t="s">
        <v>420</v>
      </c>
      <c r="I13" s="398" t="s">
        <v>506</v>
      </c>
      <c r="J13" s="399" t="s">
        <v>508</v>
      </c>
      <c r="K13" s="398" t="s">
        <v>507</v>
      </c>
      <c r="L13" s="398" t="s">
        <v>458</v>
      </c>
      <c r="M13" s="398" t="s">
        <v>509</v>
      </c>
      <c r="N13" s="399" t="s">
        <v>461</v>
      </c>
      <c r="O13" s="399" t="s">
        <v>461</v>
      </c>
      <c r="P13" s="398" t="s">
        <v>461</v>
      </c>
      <c r="Q13" s="398" t="s">
        <v>461</v>
      </c>
      <c r="R13" s="398" t="s">
        <v>461</v>
      </c>
      <c r="S13" s="398" t="s">
        <v>461</v>
      </c>
      <c r="T13" s="398" t="s">
        <v>461</v>
      </c>
      <c r="U13" s="398" t="s">
        <v>461</v>
      </c>
      <c r="V13" s="398" t="s">
        <v>679</v>
      </c>
      <c r="W13" s="398" t="s">
        <v>681</v>
      </c>
      <c r="X13" s="398" t="s">
        <v>461</v>
      </c>
      <c r="Y13" s="398" t="s">
        <v>461</v>
      </c>
      <c r="Z13" s="398" t="s">
        <v>461</v>
      </c>
      <c r="AA13" s="398" t="s">
        <v>461</v>
      </c>
      <c r="AB13" s="398" t="s">
        <v>461</v>
      </c>
      <c r="AC13" s="399" t="s">
        <v>461</v>
      </c>
      <c r="AD13" s="398" t="s">
        <v>461</v>
      </c>
      <c r="AE13" s="398" t="s">
        <v>461</v>
      </c>
      <c r="AF13" s="398" t="s">
        <v>269</v>
      </c>
      <c r="AG13" s="400" t="s">
        <v>516</v>
      </c>
      <c r="AH13" s="429" t="s">
        <v>464</v>
      </c>
      <c r="AI13" s="398" t="s">
        <v>515</v>
      </c>
      <c r="AJ13" s="399" t="s">
        <v>512</v>
      </c>
      <c r="AK13" s="398" t="s">
        <v>461</v>
      </c>
      <c r="AL13" s="399" t="s">
        <v>513</v>
      </c>
      <c r="AM13" s="398" t="s">
        <v>461</v>
      </c>
      <c r="AN13" s="398" t="s">
        <v>514</v>
      </c>
      <c r="AO13" s="398" t="s">
        <v>476</v>
      </c>
      <c r="AP13" s="398" t="s">
        <v>466</v>
      </c>
      <c r="AQ13" s="400" t="s">
        <v>473</v>
      </c>
      <c r="AR13" s="398" t="s">
        <v>441</v>
      </c>
      <c r="AS13" s="398" t="s">
        <v>517</v>
      </c>
      <c r="AT13" s="398" t="s">
        <v>461</v>
      </c>
      <c r="AU13" s="398" t="s">
        <v>461</v>
      </c>
      <c r="AV13" s="398" t="s">
        <v>461</v>
      </c>
      <c r="AW13" s="398" t="s">
        <v>461</v>
      </c>
      <c r="AX13" s="398" t="s">
        <v>461</v>
      </c>
      <c r="AY13" s="398" t="s">
        <v>461</v>
      </c>
      <c r="AZ13" s="398" t="s">
        <v>461</v>
      </c>
      <c r="BA13" s="398" t="s">
        <v>461</v>
      </c>
      <c r="BB13" s="398" t="s">
        <v>461</v>
      </c>
      <c r="BC13" s="398" t="s">
        <v>461</v>
      </c>
      <c r="BD13" s="398" t="s">
        <v>461</v>
      </c>
      <c r="BE13" s="398" t="s">
        <v>461</v>
      </c>
    </row>
    <row r="14" spans="1:57" x14ac:dyDescent="0.2">
      <c r="A14" s="397">
        <v>4011</v>
      </c>
      <c r="B14" s="398" t="s">
        <v>42</v>
      </c>
      <c r="C14" s="398" t="s">
        <v>350</v>
      </c>
      <c r="D14" s="398" t="s">
        <v>4</v>
      </c>
      <c r="F14" s="399" t="s">
        <v>420</v>
      </c>
      <c r="H14" s="399" t="s">
        <v>458</v>
      </c>
      <c r="K14" s="399" t="s">
        <v>461</v>
      </c>
      <c r="L14" s="399" t="s">
        <v>461</v>
      </c>
      <c r="M14" s="399" t="s">
        <v>461</v>
      </c>
      <c r="N14" s="399" t="s">
        <v>461</v>
      </c>
      <c r="O14" s="399" t="s">
        <v>461</v>
      </c>
      <c r="P14" s="398" t="s">
        <v>461</v>
      </c>
      <c r="Q14" s="398" t="s">
        <v>461</v>
      </c>
      <c r="R14" s="398" t="s">
        <v>461</v>
      </c>
      <c r="S14" s="398" t="s">
        <v>461</v>
      </c>
      <c r="T14" s="398" t="s">
        <v>461</v>
      </c>
      <c r="U14" s="398" t="s">
        <v>461</v>
      </c>
      <c r="V14" s="398" t="s">
        <v>679</v>
      </c>
      <c r="W14" s="398" t="s">
        <v>461</v>
      </c>
      <c r="X14" s="398" t="s">
        <v>461</v>
      </c>
      <c r="Y14" s="398" t="s">
        <v>461</v>
      </c>
      <c r="Z14" s="398" t="s">
        <v>461</v>
      </c>
      <c r="AA14" s="398" t="s">
        <v>461</v>
      </c>
      <c r="AB14" s="398" t="s">
        <v>461</v>
      </c>
      <c r="AC14" s="399" t="s">
        <v>461</v>
      </c>
      <c r="AD14" s="398" t="s">
        <v>461</v>
      </c>
      <c r="AE14" s="398" t="s">
        <v>461</v>
      </c>
      <c r="AF14" s="398" t="s">
        <v>269</v>
      </c>
      <c r="AG14" s="399" t="s">
        <v>461</v>
      </c>
      <c r="AH14" s="429" t="s">
        <v>464</v>
      </c>
      <c r="AI14" s="400" t="s">
        <v>461</v>
      </c>
      <c r="AJ14" s="399" t="s">
        <v>512</v>
      </c>
      <c r="AK14" s="398" t="s">
        <v>461</v>
      </c>
      <c r="AL14" s="399" t="s">
        <v>513</v>
      </c>
      <c r="AM14" s="398" t="s">
        <v>461</v>
      </c>
      <c r="AN14" s="398" t="s">
        <v>514</v>
      </c>
      <c r="AO14" s="398" t="s">
        <v>461</v>
      </c>
      <c r="AP14" s="398" t="s">
        <v>466</v>
      </c>
      <c r="AQ14" s="400" t="s">
        <v>471</v>
      </c>
      <c r="AR14" s="398" t="s">
        <v>441</v>
      </c>
      <c r="AS14" s="398" t="s">
        <v>461</v>
      </c>
      <c r="AV14" s="397" t="s">
        <v>351</v>
      </c>
      <c r="AW14" s="399" t="s">
        <v>352</v>
      </c>
      <c r="AX14" s="401">
        <v>0.16250000000000001</v>
      </c>
      <c r="AY14" s="397" t="s">
        <v>353</v>
      </c>
      <c r="AZ14" s="398" t="s">
        <v>354</v>
      </c>
      <c r="BB14" s="398" t="s">
        <v>441</v>
      </c>
      <c r="BC14" s="398" t="s">
        <v>202</v>
      </c>
    </row>
    <row r="15" spans="1:57" x14ac:dyDescent="0.2">
      <c r="A15" s="397">
        <v>4021</v>
      </c>
      <c r="B15" s="398" t="s">
        <v>532</v>
      </c>
      <c r="D15" s="398" t="s">
        <v>4</v>
      </c>
      <c r="E15" s="398" t="s">
        <v>533</v>
      </c>
      <c r="F15" s="399" t="s">
        <v>420</v>
      </c>
      <c r="G15" s="398" t="s">
        <v>456</v>
      </c>
      <c r="H15" s="399" t="s">
        <v>458</v>
      </c>
      <c r="I15" s="398" t="s">
        <v>456</v>
      </c>
      <c r="K15" s="399" t="s">
        <v>461</v>
      </c>
      <c r="L15" s="399" t="s">
        <v>461</v>
      </c>
      <c r="M15" s="399" t="s">
        <v>461</v>
      </c>
      <c r="N15" s="399" t="s">
        <v>461</v>
      </c>
      <c r="O15" s="399" t="s">
        <v>461</v>
      </c>
      <c r="P15" s="398" t="s">
        <v>461</v>
      </c>
      <c r="Q15" s="398" t="s">
        <v>461</v>
      </c>
      <c r="R15" s="398" t="s">
        <v>461</v>
      </c>
      <c r="S15" s="398" t="s">
        <v>461</v>
      </c>
      <c r="T15" s="398" t="s">
        <v>461</v>
      </c>
      <c r="U15" s="398" t="s">
        <v>461</v>
      </c>
      <c r="V15" s="398" t="s">
        <v>679</v>
      </c>
      <c r="W15" s="398" t="s">
        <v>461</v>
      </c>
      <c r="X15" s="398" t="s">
        <v>461</v>
      </c>
      <c r="Y15" s="398" t="s">
        <v>461</v>
      </c>
      <c r="Z15" s="398" t="s">
        <v>461</v>
      </c>
      <c r="AA15" s="398" t="s">
        <v>461</v>
      </c>
      <c r="AB15" s="398" t="s">
        <v>461</v>
      </c>
      <c r="AC15" s="399" t="s">
        <v>461</v>
      </c>
      <c r="AD15" s="398" t="s">
        <v>461</v>
      </c>
      <c r="AE15" s="398" t="s">
        <v>461</v>
      </c>
      <c r="AF15" s="398" t="s">
        <v>269</v>
      </c>
      <c r="AG15" s="399" t="s">
        <v>536</v>
      </c>
      <c r="AH15" s="429" t="s">
        <v>464</v>
      </c>
      <c r="AI15" s="400" t="s">
        <v>534</v>
      </c>
      <c r="AJ15" s="399" t="s">
        <v>512</v>
      </c>
      <c r="AK15" s="398" t="s">
        <v>535</v>
      </c>
      <c r="AL15" s="399" t="s">
        <v>513</v>
      </c>
      <c r="AM15" s="398" t="s">
        <v>537</v>
      </c>
      <c r="AN15" s="398" t="s">
        <v>514</v>
      </c>
      <c r="AO15" s="398" t="s">
        <v>476</v>
      </c>
      <c r="AP15" s="398" t="s">
        <v>466</v>
      </c>
      <c r="AQ15" s="400" t="s">
        <v>471</v>
      </c>
      <c r="AR15" s="398" t="s">
        <v>441</v>
      </c>
      <c r="AS15" s="398" t="s">
        <v>538</v>
      </c>
      <c r="AV15" s="397"/>
      <c r="AW15" s="397"/>
      <c r="AX15" s="401"/>
      <c r="AY15" s="397"/>
    </row>
    <row r="16" spans="1:57" x14ac:dyDescent="0.2">
      <c r="A16" s="397">
        <v>4031</v>
      </c>
      <c r="B16" s="398" t="s">
        <v>43</v>
      </c>
      <c r="D16" s="398" t="s">
        <v>4</v>
      </c>
      <c r="F16" s="399" t="s">
        <v>420</v>
      </c>
      <c r="H16" s="399" t="s">
        <v>458</v>
      </c>
      <c r="K16" s="399" t="s">
        <v>461</v>
      </c>
      <c r="L16" s="399" t="s">
        <v>461</v>
      </c>
      <c r="M16" s="399" t="s">
        <v>461</v>
      </c>
      <c r="N16" s="399" t="s">
        <v>461</v>
      </c>
      <c r="O16" s="399" t="s">
        <v>461</v>
      </c>
      <c r="P16" s="398" t="s">
        <v>461</v>
      </c>
      <c r="Q16" s="398" t="s">
        <v>461</v>
      </c>
      <c r="R16" s="398" t="s">
        <v>461</v>
      </c>
      <c r="S16" s="398" t="s">
        <v>461</v>
      </c>
      <c r="T16" s="398" t="s">
        <v>461</v>
      </c>
      <c r="U16" s="398" t="s">
        <v>461</v>
      </c>
      <c r="V16" s="398" t="s">
        <v>679</v>
      </c>
      <c r="W16" s="398" t="s">
        <v>461</v>
      </c>
      <c r="X16" s="398" t="s">
        <v>461</v>
      </c>
      <c r="Y16" s="398" t="s">
        <v>461</v>
      </c>
      <c r="Z16" s="398" t="s">
        <v>461</v>
      </c>
      <c r="AA16" s="398" t="s">
        <v>461</v>
      </c>
      <c r="AB16" s="398" t="s">
        <v>461</v>
      </c>
      <c r="AC16" s="399" t="s">
        <v>461</v>
      </c>
      <c r="AD16" s="398" t="s">
        <v>461</v>
      </c>
      <c r="AE16" s="398" t="s">
        <v>461</v>
      </c>
      <c r="AF16" s="398" t="s">
        <v>269</v>
      </c>
      <c r="AG16" s="399" t="s">
        <v>461</v>
      </c>
      <c r="AH16" s="429" t="s">
        <v>464</v>
      </c>
      <c r="AI16" s="400" t="s">
        <v>461</v>
      </c>
      <c r="AJ16" s="399" t="s">
        <v>512</v>
      </c>
      <c r="AK16" s="398" t="s">
        <v>461</v>
      </c>
      <c r="AL16" s="399" t="s">
        <v>513</v>
      </c>
      <c r="AM16" s="398" t="s">
        <v>461</v>
      </c>
      <c r="AN16" s="398" t="s">
        <v>514</v>
      </c>
      <c r="AO16" s="398" t="s">
        <v>461</v>
      </c>
      <c r="AP16" s="398" t="s">
        <v>466</v>
      </c>
      <c r="AQ16" s="400" t="s">
        <v>471</v>
      </c>
      <c r="AR16" s="398" t="s">
        <v>441</v>
      </c>
      <c r="AS16" s="398" t="s">
        <v>461</v>
      </c>
      <c r="AV16" s="397" t="s">
        <v>367</v>
      </c>
      <c r="AW16" s="397" t="s">
        <v>368</v>
      </c>
      <c r="AX16" s="401">
        <v>0.1484</v>
      </c>
      <c r="AY16" s="397"/>
      <c r="AZ16" s="398" t="s">
        <v>333</v>
      </c>
      <c r="BB16" s="398" t="s">
        <v>441</v>
      </c>
      <c r="BC16" s="398" t="s">
        <v>203</v>
      </c>
    </row>
    <row r="17" spans="1:55" x14ac:dyDescent="0.2">
      <c r="A17" s="397">
        <v>4041</v>
      </c>
      <c r="B17" s="398" t="s">
        <v>306</v>
      </c>
      <c r="C17" s="430"/>
      <c r="D17" s="398" t="s">
        <v>4</v>
      </c>
      <c r="E17" s="430"/>
      <c r="F17" s="399" t="s">
        <v>420</v>
      </c>
      <c r="G17" s="430"/>
      <c r="H17" s="399" t="s">
        <v>458</v>
      </c>
      <c r="I17" s="430"/>
      <c r="J17" s="430"/>
      <c r="K17" s="399" t="s">
        <v>461</v>
      </c>
      <c r="L17" s="399" t="s">
        <v>461</v>
      </c>
      <c r="M17" s="399" t="s">
        <v>461</v>
      </c>
      <c r="N17" s="399" t="s">
        <v>461</v>
      </c>
      <c r="O17" s="399" t="s">
        <v>461</v>
      </c>
      <c r="P17" s="398" t="s">
        <v>461</v>
      </c>
      <c r="Q17" s="398" t="s">
        <v>461</v>
      </c>
      <c r="R17" s="398" t="s">
        <v>461</v>
      </c>
      <c r="S17" s="398" t="s">
        <v>461</v>
      </c>
      <c r="T17" s="398" t="s">
        <v>461</v>
      </c>
      <c r="U17" s="398" t="s">
        <v>461</v>
      </c>
      <c r="V17" s="398" t="s">
        <v>679</v>
      </c>
      <c r="W17" s="398" t="s">
        <v>461</v>
      </c>
      <c r="X17" s="398" t="s">
        <v>461</v>
      </c>
      <c r="Y17" s="398" t="s">
        <v>461</v>
      </c>
      <c r="Z17" s="398" t="s">
        <v>461</v>
      </c>
      <c r="AA17" s="398" t="s">
        <v>461</v>
      </c>
      <c r="AB17" s="398" t="s">
        <v>461</v>
      </c>
      <c r="AC17" s="399" t="s">
        <v>461</v>
      </c>
      <c r="AD17" s="398" t="s">
        <v>461</v>
      </c>
      <c r="AE17" s="398" t="s">
        <v>461</v>
      </c>
      <c r="AF17" s="398" t="s">
        <v>269</v>
      </c>
      <c r="AG17" s="399" t="s">
        <v>461</v>
      </c>
      <c r="AH17" s="429" t="s">
        <v>464</v>
      </c>
      <c r="AI17" s="400" t="s">
        <v>461</v>
      </c>
      <c r="AJ17" s="399" t="s">
        <v>512</v>
      </c>
      <c r="AK17" s="398" t="s">
        <v>461</v>
      </c>
      <c r="AL17" s="399" t="s">
        <v>513</v>
      </c>
      <c r="AM17" s="398" t="s">
        <v>461</v>
      </c>
      <c r="AN17" s="398" t="s">
        <v>514</v>
      </c>
      <c r="AO17" s="398" t="s">
        <v>461</v>
      </c>
      <c r="AP17" s="398" t="s">
        <v>466</v>
      </c>
      <c r="AQ17" s="400" t="s">
        <v>471</v>
      </c>
      <c r="AR17" s="398" t="s">
        <v>441</v>
      </c>
      <c r="AS17" s="398" t="s">
        <v>461</v>
      </c>
      <c r="AU17" s="430"/>
      <c r="AV17" s="397" t="s">
        <v>369</v>
      </c>
      <c r="AW17" s="431"/>
      <c r="AX17" s="432">
        <v>0.16370000000000001</v>
      </c>
      <c r="AY17" s="431" t="s">
        <v>342</v>
      </c>
      <c r="AZ17" s="398" t="s">
        <v>370</v>
      </c>
      <c r="BA17" s="430"/>
      <c r="BB17" s="398" t="s">
        <v>441</v>
      </c>
      <c r="BC17" s="430" t="s">
        <v>205</v>
      </c>
    </row>
    <row r="18" spans="1:55" x14ac:dyDescent="0.2">
      <c r="A18" s="397">
        <v>4101</v>
      </c>
      <c r="B18" s="398" t="s">
        <v>519</v>
      </c>
      <c r="C18" s="398" t="s">
        <v>520</v>
      </c>
      <c r="D18" s="398" t="s">
        <v>521</v>
      </c>
      <c r="E18" s="398" t="s">
        <v>523</v>
      </c>
      <c r="F18" s="398" t="s">
        <v>522</v>
      </c>
      <c r="G18" s="398" t="s">
        <v>525</v>
      </c>
      <c r="H18" s="398" t="s">
        <v>524</v>
      </c>
      <c r="I18" s="398" t="s">
        <v>526</v>
      </c>
      <c r="J18" s="398" t="s">
        <v>527</v>
      </c>
      <c r="K18" s="398" t="s">
        <v>528</v>
      </c>
      <c r="L18" s="399" t="s">
        <v>420</v>
      </c>
      <c r="M18" s="398" t="s">
        <v>506</v>
      </c>
      <c r="N18" s="399" t="s">
        <v>458</v>
      </c>
      <c r="O18" s="398" t="s">
        <v>529</v>
      </c>
      <c r="P18" s="398" t="s">
        <v>458</v>
      </c>
      <c r="Q18" s="398" t="s">
        <v>509</v>
      </c>
      <c r="R18" s="398" t="s">
        <v>461</v>
      </c>
      <c r="S18" s="398" t="s">
        <v>461</v>
      </c>
      <c r="T18" s="398" t="s">
        <v>461</v>
      </c>
      <c r="U18" s="398" t="s">
        <v>461</v>
      </c>
      <c r="V18" s="398" t="s">
        <v>679</v>
      </c>
      <c r="W18" s="398" t="s">
        <v>681</v>
      </c>
      <c r="X18" s="398" t="s">
        <v>461</v>
      </c>
      <c r="Y18" s="398" t="s">
        <v>461</v>
      </c>
      <c r="Z18" s="398" t="s">
        <v>461</v>
      </c>
      <c r="AA18" s="398" t="s">
        <v>461</v>
      </c>
      <c r="AB18" s="398" t="s">
        <v>461</v>
      </c>
      <c r="AC18" s="399" t="s">
        <v>461</v>
      </c>
      <c r="AD18" s="398" t="s">
        <v>461</v>
      </c>
      <c r="AE18" s="398" t="s">
        <v>461</v>
      </c>
      <c r="AF18" s="398" t="s">
        <v>269</v>
      </c>
      <c r="AG18" s="399" t="s">
        <v>530</v>
      </c>
      <c r="AH18" s="400" t="s">
        <v>464</v>
      </c>
      <c r="AI18" s="398" t="s">
        <v>531</v>
      </c>
      <c r="AJ18" s="399" t="s">
        <v>512</v>
      </c>
      <c r="AK18" s="398" t="s">
        <v>451</v>
      </c>
      <c r="AL18" s="399" t="s">
        <v>513</v>
      </c>
      <c r="AM18" s="398" t="s">
        <v>451</v>
      </c>
      <c r="AN18" s="398" t="s">
        <v>514</v>
      </c>
      <c r="AO18" s="398" t="s">
        <v>476</v>
      </c>
      <c r="AP18" s="398" t="s">
        <v>466</v>
      </c>
      <c r="AQ18" s="400" t="s">
        <v>471</v>
      </c>
      <c r="AR18" s="398" t="s">
        <v>441</v>
      </c>
      <c r="AS18" s="398" t="s">
        <v>518</v>
      </c>
      <c r="AV18" s="397"/>
      <c r="AW18" s="397"/>
      <c r="AX18" s="401"/>
      <c r="AY18" s="397"/>
    </row>
    <row r="19" spans="1:55" x14ac:dyDescent="0.2">
      <c r="A19" s="397">
        <v>4141</v>
      </c>
      <c r="B19" s="398" t="s">
        <v>44</v>
      </c>
      <c r="C19" s="398" t="s">
        <v>308</v>
      </c>
      <c r="D19" s="398" t="s">
        <v>4</v>
      </c>
      <c r="F19" s="399" t="s">
        <v>420</v>
      </c>
      <c r="H19" s="399" t="s">
        <v>458</v>
      </c>
      <c r="J19" s="399" t="s">
        <v>461</v>
      </c>
      <c r="K19" s="399" t="s">
        <v>461</v>
      </c>
      <c r="L19" s="399" t="s">
        <v>461</v>
      </c>
      <c r="M19" s="399" t="s">
        <v>461</v>
      </c>
      <c r="N19" s="399" t="s">
        <v>461</v>
      </c>
      <c r="O19" s="399" t="s">
        <v>461</v>
      </c>
      <c r="P19" s="398" t="s">
        <v>461</v>
      </c>
      <c r="Q19" s="398" t="s">
        <v>461</v>
      </c>
      <c r="R19" s="398" t="s">
        <v>461</v>
      </c>
      <c r="S19" s="398" t="s">
        <v>461</v>
      </c>
      <c r="T19" s="398" t="s">
        <v>461</v>
      </c>
      <c r="U19" s="398" t="s">
        <v>461</v>
      </c>
      <c r="V19" s="398" t="s">
        <v>679</v>
      </c>
      <c r="W19" s="398" t="s">
        <v>681</v>
      </c>
      <c r="X19" s="398" t="s">
        <v>461</v>
      </c>
      <c r="Y19" s="398" t="s">
        <v>680</v>
      </c>
      <c r="Z19" s="398" t="s">
        <v>461</v>
      </c>
      <c r="AA19" s="398" t="s">
        <v>683</v>
      </c>
      <c r="AB19" s="398" t="s">
        <v>461</v>
      </c>
      <c r="AC19" s="399" t="s">
        <v>461</v>
      </c>
      <c r="AD19" s="398" t="s">
        <v>461</v>
      </c>
      <c r="AE19" s="398" t="s">
        <v>461</v>
      </c>
      <c r="AF19" s="398" t="s">
        <v>269</v>
      </c>
      <c r="AG19" s="399" t="s">
        <v>461</v>
      </c>
      <c r="AH19" s="429" t="s">
        <v>464</v>
      </c>
      <c r="AI19" s="400" t="s">
        <v>461</v>
      </c>
      <c r="AJ19" s="399" t="s">
        <v>512</v>
      </c>
      <c r="AK19" s="398" t="s">
        <v>461</v>
      </c>
      <c r="AL19" s="399" t="s">
        <v>513</v>
      </c>
      <c r="AM19" s="398" t="s">
        <v>461</v>
      </c>
      <c r="AN19" s="398" t="s">
        <v>514</v>
      </c>
      <c r="AO19" s="398" t="s">
        <v>461</v>
      </c>
      <c r="AP19" s="398" t="s">
        <v>466</v>
      </c>
      <c r="AQ19" s="400" t="s">
        <v>474</v>
      </c>
      <c r="AR19" s="398" t="s">
        <v>441</v>
      </c>
      <c r="AS19" s="398" t="s">
        <v>461</v>
      </c>
      <c r="AV19" s="397" t="s">
        <v>371</v>
      </c>
      <c r="AW19" s="399" t="s">
        <v>372</v>
      </c>
      <c r="AX19" s="401"/>
      <c r="AY19" s="401"/>
      <c r="BB19" s="398" t="s">
        <v>441</v>
      </c>
      <c r="BC19" s="398" t="s">
        <v>204</v>
      </c>
    </row>
    <row r="20" spans="1:55" x14ac:dyDescent="0.2">
      <c r="A20" s="397">
        <v>4151</v>
      </c>
      <c r="B20" s="398" t="s">
        <v>45</v>
      </c>
      <c r="C20" s="398" t="s">
        <v>309</v>
      </c>
      <c r="D20" s="398" t="s">
        <v>4</v>
      </c>
      <c r="F20" s="399" t="s">
        <v>420</v>
      </c>
      <c r="H20" s="399" t="s">
        <v>458</v>
      </c>
      <c r="J20" s="399" t="s">
        <v>461</v>
      </c>
      <c r="K20" s="399" t="s">
        <v>461</v>
      </c>
      <c r="L20" s="399" t="s">
        <v>461</v>
      </c>
      <c r="M20" s="399" t="s">
        <v>461</v>
      </c>
      <c r="N20" s="399" t="s">
        <v>461</v>
      </c>
      <c r="O20" s="399" t="s">
        <v>461</v>
      </c>
      <c r="P20" s="398" t="s">
        <v>461</v>
      </c>
      <c r="Q20" s="398" t="s">
        <v>461</v>
      </c>
      <c r="R20" s="398" t="s">
        <v>461</v>
      </c>
      <c r="S20" s="398" t="s">
        <v>461</v>
      </c>
      <c r="T20" s="398" t="s">
        <v>461</v>
      </c>
      <c r="U20" s="398" t="s">
        <v>461</v>
      </c>
      <c r="V20" s="398" t="s">
        <v>679</v>
      </c>
      <c r="W20" s="398" t="s">
        <v>461</v>
      </c>
      <c r="X20" s="398" t="s">
        <v>461</v>
      </c>
      <c r="Y20" s="398" t="s">
        <v>461</v>
      </c>
      <c r="Z20" s="398" t="s">
        <v>461</v>
      </c>
      <c r="AA20" s="398" t="s">
        <v>461</v>
      </c>
      <c r="AB20" s="398" t="s">
        <v>461</v>
      </c>
      <c r="AC20" s="399" t="s">
        <v>461</v>
      </c>
      <c r="AD20" s="398" t="s">
        <v>461</v>
      </c>
      <c r="AE20" s="398" t="s">
        <v>461</v>
      </c>
      <c r="AF20" s="398" t="s">
        <v>269</v>
      </c>
      <c r="AG20" s="399" t="s">
        <v>461</v>
      </c>
      <c r="AH20" s="429" t="s">
        <v>464</v>
      </c>
      <c r="AI20" s="400" t="s">
        <v>461</v>
      </c>
      <c r="AJ20" s="399" t="s">
        <v>512</v>
      </c>
      <c r="AK20" s="398" t="s">
        <v>461</v>
      </c>
      <c r="AL20" s="399" t="s">
        <v>513</v>
      </c>
      <c r="AM20" s="398" t="s">
        <v>461</v>
      </c>
      <c r="AN20" s="398" t="s">
        <v>514</v>
      </c>
      <c r="AO20" s="398" t="s">
        <v>461</v>
      </c>
      <c r="AP20" s="398" t="s">
        <v>466</v>
      </c>
      <c r="AQ20" s="400" t="s">
        <v>473</v>
      </c>
      <c r="AR20" s="398" t="s">
        <v>441</v>
      </c>
      <c r="AS20" s="398" t="s">
        <v>461</v>
      </c>
      <c r="AV20" s="397"/>
      <c r="AW20" s="397"/>
      <c r="AX20" s="397"/>
      <c r="AY20" s="397"/>
      <c r="BB20" s="398" t="s">
        <v>441</v>
      </c>
      <c r="BC20" s="398" t="s">
        <v>204</v>
      </c>
    </row>
    <row r="21" spans="1:55" x14ac:dyDescent="0.2">
      <c r="A21" s="397">
        <v>4401</v>
      </c>
      <c r="B21" s="398" t="s">
        <v>318</v>
      </c>
      <c r="D21" s="398" t="s">
        <v>4</v>
      </c>
      <c r="F21" s="399" t="s">
        <v>420</v>
      </c>
      <c r="H21" s="399" t="s">
        <v>458</v>
      </c>
      <c r="J21" s="399" t="s">
        <v>461</v>
      </c>
      <c r="K21" s="399" t="s">
        <v>461</v>
      </c>
      <c r="L21" s="399" t="s">
        <v>461</v>
      </c>
      <c r="M21" s="399" t="s">
        <v>461</v>
      </c>
      <c r="N21" s="399" t="s">
        <v>461</v>
      </c>
      <c r="O21" s="399" t="s">
        <v>461</v>
      </c>
      <c r="P21" s="398" t="s">
        <v>461</v>
      </c>
      <c r="Q21" s="398" t="s">
        <v>461</v>
      </c>
      <c r="R21" s="398" t="s">
        <v>461</v>
      </c>
      <c r="S21" s="398" t="s">
        <v>461</v>
      </c>
      <c r="T21" s="398" t="s">
        <v>461</v>
      </c>
      <c r="U21" s="398" t="s">
        <v>461</v>
      </c>
      <c r="V21" s="398" t="s">
        <v>679</v>
      </c>
      <c r="W21" s="398" t="s">
        <v>461</v>
      </c>
      <c r="X21" s="398" t="s">
        <v>461</v>
      </c>
      <c r="Y21" s="398" t="s">
        <v>461</v>
      </c>
      <c r="Z21" s="398" t="s">
        <v>461</v>
      </c>
      <c r="AA21" s="398" t="s">
        <v>461</v>
      </c>
      <c r="AB21" s="398" t="s">
        <v>461</v>
      </c>
      <c r="AC21" s="399" t="s">
        <v>461</v>
      </c>
      <c r="AD21" s="398" t="s">
        <v>461</v>
      </c>
      <c r="AE21" s="398" t="s">
        <v>461</v>
      </c>
      <c r="AF21" s="398" t="s">
        <v>269</v>
      </c>
      <c r="AG21" s="399" t="s">
        <v>461</v>
      </c>
      <c r="AH21" s="429" t="s">
        <v>464</v>
      </c>
      <c r="AI21" s="400" t="s">
        <v>461</v>
      </c>
      <c r="AJ21" s="399" t="s">
        <v>512</v>
      </c>
      <c r="AK21" s="398" t="s">
        <v>461</v>
      </c>
      <c r="AL21" s="399" t="s">
        <v>513</v>
      </c>
      <c r="AM21" s="398" t="s">
        <v>461</v>
      </c>
      <c r="AN21" s="398" t="s">
        <v>514</v>
      </c>
      <c r="AO21" s="398" t="s">
        <v>461</v>
      </c>
      <c r="AP21" s="398" t="s">
        <v>466</v>
      </c>
      <c r="AQ21" s="400" t="s">
        <v>471</v>
      </c>
      <c r="AR21" s="398" t="s">
        <v>441</v>
      </c>
      <c r="AS21" s="398" t="s">
        <v>461</v>
      </c>
      <c r="AV21" s="397"/>
      <c r="AW21" s="397"/>
      <c r="AX21" s="397"/>
      <c r="AY21" s="397"/>
      <c r="BB21" s="398" t="s">
        <v>441</v>
      </c>
      <c r="BC21" s="398" t="s">
        <v>317</v>
      </c>
    </row>
    <row r="22" spans="1:55" x14ac:dyDescent="0.2">
      <c r="A22" s="397">
        <v>4501</v>
      </c>
      <c r="B22" s="398" t="s">
        <v>226</v>
      </c>
      <c r="D22" s="398" t="s">
        <v>4</v>
      </c>
      <c r="F22" s="399" t="s">
        <v>420</v>
      </c>
      <c r="H22" s="399" t="s">
        <v>458</v>
      </c>
      <c r="J22" s="399" t="s">
        <v>461</v>
      </c>
      <c r="K22" s="399" t="s">
        <v>461</v>
      </c>
      <c r="L22" s="399" t="s">
        <v>461</v>
      </c>
      <c r="M22" s="399" t="s">
        <v>461</v>
      </c>
      <c r="N22" s="399" t="s">
        <v>461</v>
      </c>
      <c r="O22" s="399" t="s">
        <v>461</v>
      </c>
      <c r="P22" s="398" t="s">
        <v>461</v>
      </c>
      <c r="Q22" s="398" t="s">
        <v>461</v>
      </c>
      <c r="R22" s="398" t="s">
        <v>461</v>
      </c>
      <c r="S22" s="398" t="s">
        <v>461</v>
      </c>
      <c r="T22" s="398" t="s">
        <v>461</v>
      </c>
      <c r="U22" s="398" t="s">
        <v>461</v>
      </c>
      <c r="V22" s="398" t="s">
        <v>679</v>
      </c>
      <c r="W22" s="398" t="s">
        <v>461</v>
      </c>
      <c r="X22" s="398" t="s">
        <v>461</v>
      </c>
      <c r="Y22" s="398" t="s">
        <v>461</v>
      </c>
      <c r="Z22" s="398" t="s">
        <v>461</v>
      </c>
      <c r="AA22" s="398" t="s">
        <v>461</v>
      </c>
      <c r="AB22" s="398" t="s">
        <v>461</v>
      </c>
      <c r="AC22" s="399" t="s">
        <v>461</v>
      </c>
      <c r="AD22" s="398" t="s">
        <v>461</v>
      </c>
      <c r="AE22" s="398" t="s">
        <v>461</v>
      </c>
      <c r="AF22" s="398" t="s">
        <v>269</v>
      </c>
      <c r="AG22" s="399" t="s">
        <v>461</v>
      </c>
      <c r="AH22" s="429" t="s">
        <v>464</v>
      </c>
      <c r="AI22" s="400" t="s">
        <v>461</v>
      </c>
      <c r="AJ22" s="399" t="s">
        <v>512</v>
      </c>
      <c r="AK22" s="398" t="s">
        <v>461</v>
      </c>
      <c r="AL22" s="399" t="s">
        <v>513</v>
      </c>
      <c r="AM22" s="398" t="s">
        <v>461</v>
      </c>
      <c r="AN22" s="398" t="s">
        <v>514</v>
      </c>
      <c r="AO22" s="398" t="s">
        <v>461</v>
      </c>
      <c r="AP22" s="398" t="s">
        <v>466</v>
      </c>
      <c r="AQ22" s="400" t="s">
        <v>471</v>
      </c>
      <c r="AR22" s="398" t="s">
        <v>441</v>
      </c>
      <c r="AS22" s="398" t="s">
        <v>461</v>
      </c>
      <c r="AV22" s="397"/>
      <c r="AW22" s="397"/>
      <c r="AX22" s="397"/>
      <c r="AY22" s="397"/>
      <c r="BB22" s="398" t="s">
        <v>441</v>
      </c>
      <c r="BC22" s="398" t="s">
        <v>227</v>
      </c>
    </row>
    <row r="23" spans="1:55" x14ac:dyDescent="0.2">
      <c r="A23" s="397">
        <v>5001</v>
      </c>
      <c r="B23" s="398" t="s">
        <v>224</v>
      </c>
      <c r="D23" s="398" t="s">
        <v>4</v>
      </c>
      <c r="F23" s="399" t="s">
        <v>420</v>
      </c>
      <c r="H23" s="399" t="s">
        <v>458</v>
      </c>
      <c r="J23" s="399" t="s">
        <v>703</v>
      </c>
      <c r="K23" s="399" t="s">
        <v>712</v>
      </c>
      <c r="L23" s="399" t="s">
        <v>713</v>
      </c>
      <c r="M23" s="399" t="s">
        <v>714</v>
      </c>
      <c r="N23" s="399" t="s">
        <v>715</v>
      </c>
      <c r="O23" s="399" t="s">
        <v>461</v>
      </c>
      <c r="P23" s="398" t="s">
        <v>461</v>
      </c>
      <c r="Q23" s="398" t="s">
        <v>461</v>
      </c>
      <c r="R23" s="398" t="s">
        <v>461</v>
      </c>
      <c r="S23" s="398" t="s">
        <v>461</v>
      </c>
      <c r="T23" s="398" t="s">
        <v>461</v>
      </c>
      <c r="U23" s="398" t="s">
        <v>461</v>
      </c>
      <c r="V23" s="398" t="s">
        <v>679</v>
      </c>
      <c r="W23" s="398" t="s">
        <v>681</v>
      </c>
      <c r="X23" s="398" t="s">
        <v>461</v>
      </c>
      <c r="Y23" s="398" t="s">
        <v>461</v>
      </c>
      <c r="Z23" s="398" t="s">
        <v>461</v>
      </c>
      <c r="AA23" s="398" t="s">
        <v>461</v>
      </c>
      <c r="AB23" s="398" t="s">
        <v>461</v>
      </c>
      <c r="AC23" s="399" t="s">
        <v>461</v>
      </c>
      <c r="AD23" s="398" t="s">
        <v>269</v>
      </c>
      <c r="AE23" s="399" t="s">
        <v>615</v>
      </c>
      <c r="AF23" s="398" t="s">
        <v>616</v>
      </c>
      <c r="AG23" s="399" t="s">
        <v>617</v>
      </c>
      <c r="AH23" s="429" t="s">
        <v>464</v>
      </c>
      <c r="AI23" s="400" t="s">
        <v>613</v>
      </c>
      <c r="AJ23" s="399" t="s">
        <v>512</v>
      </c>
      <c r="AK23" s="398" t="s">
        <v>618</v>
      </c>
      <c r="AL23" s="399" t="s">
        <v>513</v>
      </c>
      <c r="AM23" s="398" t="s">
        <v>619</v>
      </c>
      <c r="AN23" s="398" t="s">
        <v>514</v>
      </c>
      <c r="AO23" s="398" t="s">
        <v>476</v>
      </c>
      <c r="AP23" s="398" t="s">
        <v>466</v>
      </c>
      <c r="AQ23" s="400" t="s">
        <v>475</v>
      </c>
      <c r="AR23" s="398" t="s">
        <v>441</v>
      </c>
      <c r="AS23" s="398" t="s">
        <v>206</v>
      </c>
      <c r="AV23" s="397"/>
      <c r="AW23" s="397"/>
      <c r="AX23" s="401"/>
      <c r="AY23" s="401"/>
    </row>
    <row r="24" spans="1:55" x14ac:dyDescent="0.2">
      <c r="A24" s="397">
        <v>5002</v>
      </c>
      <c r="B24" s="398" t="s">
        <v>225</v>
      </c>
      <c r="D24" s="398" t="s">
        <v>4</v>
      </c>
      <c r="F24" s="399" t="s">
        <v>420</v>
      </c>
      <c r="H24" s="399" t="s">
        <v>458</v>
      </c>
      <c r="J24" s="399" t="s">
        <v>461</v>
      </c>
      <c r="K24" s="399" t="s">
        <v>461</v>
      </c>
      <c r="L24" s="399" t="s">
        <v>461</v>
      </c>
      <c r="M24" s="399" t="s">
        <v>461</v>
      </c>
      <c r="N24" s="399" t="s">
        <v>461</v>
      </c>
      <c r="O24" s="399" t="s">
        <v>461</v>
      </c>
      <c r="P24" s="398" t="s">
        <v>461</v>
      </c>
      <c r="Q24" s="398" t="s">
        <v>461</v>
      </c>
      <c r="R24" s="398" t="s">
        <v>461</v>
      </c>
      <c r="S24" s="398" t="s">
        <v>461</v>
      </c>
      <c r="T24" s="398" t="s">
        <v>461</v>
      </c>
      <c r="U24" s="398" t="s">
        <v>461</v>
      </c>
      <c r="V24" s="398" t="s">
        <v>679</v>
      </c>
      <c r="W24" s="398" t="s">
        <v>461</v>
      </c>
      <c r="X24" s="398" t="s">
        <v>461</v>
      </c>
      <c r="Y24" s="398" t="s">
        <v>461</v>
      </c>
      <c r="Z24" s="398" t="s">
        <v>461</v>
      </c>
      <c r="AA24" s="398" t="s">
        <v>461</v>
      </c>
      <c r="AB24" s="398" t="s">
        <v>461</v>
      </c>
      <c r="AC24" s="399" t="s">
        <v>461</v>
      </c>
      <c r="AD24" s="398" t="s">
        <v>269</v>
      </c>
      <c r="AE24" s="399" t="s">
        <v>615</v>
      </c>
      <c r="AF24" s="398" t="s">
        <v>620</v>
      </c>
      <c r="AG24" s="399" t="s">
        <v>621</v>
      </c>
      <c r="AH24" s="429" t="s">
        <v>464</v>
      </c>
      <c r="AI24" s="400" t="s">
        <v>613</v>
      </c>
      <c r="AJ24" s="399" t="s">
        <v>512</v>
      </c>
      <c r="AK24" s="398" t="s">
        <v>618</v>
      </c>
      <c r="AL24" s="399" t="s">
        <v>513</v>
      </c>
      <c r="AM24" s="398" t="s">
        <v>619</v>
      </c>
      <c r="AN24" s="398" t="s">
        <v>514</v>
      </c>
      <c r="AO24" s="398" t="s">
        <v>461</v>
      </c>
      <c r="AP24" s="398" t="s">
        <v>466</v>
      </c>
      <c r="AQ24" s="400" t="s">
        <v>475</v>
      </c>
      <c r="AR24" s="398" t="s">
        <v>441</v>
      </c>
      <c r="AS24" s="398" t="s">
        <v>206</v>
      </c>
      <c r="AV24" s="397"/>
      <c r="AW24" s="397"/>
      <c r="AX24" s="401"/>
      <c r="AY24" s="401"/>
    </row>
    <row r="25" spans="1:55" x14ac:dyDescent="0.2">
      <c r="A25" s="397">
        <v>5062</v>
      </c>
      <c r="B25" s="398" t="s">
        <v>622</v>
      </c>
      <c r="C25" s="398" t="s">
        <v>632</v>
      </c>
      <c r="D25" s="398" t="s">
        <v>4</v>
      </c>
      <c r="E25" s="398" t="s">
        <v>623</v>
      </c>
      <c r="F25" s="399" t="s">
        <v>420</v>
      </c>
      <c r="G25" s="398" t="s">
        <v>627</v>
      </c>
      <c r="H25" s="399" t="s">
        <v>420</v>
      </c>
      <c r="I25" s="398" t="s">
        <v>624</v>
      </c>
      <c r="J25" s="399" t="s">
        <v>625</v>
      </c>
      <c r="K25" s="399" t="s">
        <v>626</v>
      </c>
      <c r="L25" s="399" t="s">
        <v>631</v>
      </c>
      <c r="M25" s="399" t="s">
        <v>628</v>
      </c>
      <c r="N25" s="399" t="s">
        <v>631</v>
      </c>
      <c r="O25" s="399" t="s">
        <v>629</v>
      </c>
      <c r="P25" s="399" t="s">
        <v>631</v>
      </c>
      <c r="Q25" s="398" t="s">
        <v>630</v>
      </c>
      <c r="R25" s="398" t="s">
        <v>458</v>
      </c>
      <c r="S25" s="398" t="s">
        <v>720</v>
      </c>
      <c r="T25" s="398" t="s">
        <v>461</v>
      </c>
      <c r="U25" s="398" t="s">
        <v>461</v>
      </c>
      <c r="V25" s="398" t="s">
        <v>679</v>
      </c>
      <c r="W25" s="398" t="s">
        <v>681</v>
      </c>
      <c r="X25" s="398" t="s">
        <v>461</v>
      </c>
      <c r="Y25" s="398" t="s">
        <v>461</v>
      </c>
      <c r="Z25" s="398" t="s">
        <v>461</v>
      </c>
      <c r="AA25" s="398" t="s">
        <v>461</v>
      </c>
      <c r="AB25" s="398" t="s">
        <v>461</v>
      </c>
      <c r="AC25" s="399" t="s">
        <v>461</v>
      </c>
      <c r="AD25" s="398" t="s">
        <v>269</v>
      </c>
      <c r="AE25" s="399" t="s">
        <v>615</v>
      </c>
      <c r="AF25" s="398" t="s">
        <v>616</v>
      </c>
      <c r="AG25" s="399" t="s">
        <v>617</v>
      </c>
      <c r="AH25" s="429" t="s">
        <v>464</v>
      </c>
      <c r="AI25" s="400" t="s">
        <v>613</v>
      </c>
      <c r="AJ25" s="399" t="s">
        <v>512</v>
      </c>
      <c r="AK25" s="398" t="s">
        <v>618</v>
      </c>
      <c r="AL25" s="399" t="s">
        <v>513</v>
      </c>
      <c r="AM25" s="398" t="s">
        <v>619</v>
      </c>
      <c r="AN25" s="398" t="s">
        <v>514</v>
      </c>
      <c r="AO25" s="398" t="s">
        <v>476</v>
      </c>
      <c r="AP25" s="398" t="s">
        <v>466</v>
      </c>
      <c r="AQ25" s="400" t="s">
        <v>475</v>
      </c>
      <c r="AR25" s="398" t="s">
        <v>441</v>
      </c>
      <c r="AS25" s="398" t="s">
        <v>207</v>
      </c>
      <c r="AV25" s="397"/>
      <c r="AW25" s="397"/>
      <c r="AX25" s="397"/>
      <c r="AY25" s="397"/>
    </row>
    <row r="26" spans="1:55" x14ac:dyDescent="0.2">
      <c r="A26" s="397">
        <v>5065</v>
      </c>
      <c r="B26" s="398" t="s">
        <v>452</v>
      </c>
      <c r="C26" s="398" t="s">
        <v>453</v>
      </c>
      <c r="D26" s="398" t="s">
        <v>4</v>
      </c>
      <c r="E26" s="398" t="s">
        <v>633</v>
      </c>
      <c r="F26" s="399" t="s">
        <v>420</v>
      </c>
      <c r="G26" s="398" t="s">
        <v>510</v>
      </c>
      <c r="H26" s="399" t="s">
        <v>458</v>
      </c>
      <c r="I26" s="398" t="s">
        <v>510</v>
      </c>
      <c r="J26" s="399"/>
      <c r="K26" s="399"/>
      <c r="L26" s="399"/>
      <c r="M26" s="399"/>
      <c r="N26" s="399"/>
      <c r="O26" s="399"/>
      <c r="P26" s="399"/>
      <c r="R26" s="398" t="s">
        <v>461</v>
      </c>
      <c r="S26" s="398" t="s">
        <v>461</v>
      </c>
      <c r="T26" s="398" t="s">
        <v>461</v>
      </c>
      <c r="V26" s="398" t="s">
        <v>679</v>
      </c>
      <c r="W26" s="398" t="s">
        <v>461</v>
      </c>
      <c r="X26" s="398" t="s">
        <v>461</v>
      </c>
      <c r="Y26" s="398" t="s">
        <v>461</v>
      </c>
      <c r="Z26" s="398" t="s">
        <v>461</v>
      </c>
      <c r="AA26" s="398" t="s">
        <v>461</v>
      </c>
      <c r="AB26" s="398" t="s">
        <v>461</v>
      </c>
      <c r="AC26" s="399" t="s">
        <v>461</v>
      </c>
      <c r="AD26" s="398" t="s">
        <v>269</v>
      </c>
      <c r="AE26" s="399" t="s">
        <v>615</v>
      </c>
      <c r="AF26" s="398" t="s">
        <v>616</v>
      </c>
      <c r="AG26" s="399" t="s">
        <v>617</v>
      </c>
      <c r="AH26" s="429" t="s">
        <v>464</v>
      </c>
      <c r="AI26" s="400" t="s">
        <v>613</v>
      </c>
      <c r="AJ26" s="399" t="s">
        <v>512</v>
      </c>
      <c r="AK26" s="398" t="s">
        <v>618</v>
      </c>
      <c r="AL26" s="399" t="s">
        <v>513</v>
      </c>
      <c r="AM26" s="398" t="s">
        <v>619</v>
      </c>
      <c r="AN26" s="398" t="s">
        <v>514</v>
      </c>
      <c r="AO26" s="398" t="s">
        <v>476</v>
      </c>
      <c r="AP26" s="398" t="s">
        <v>466</v>
      </c>
      <c r="AQ26" s="400" t="s">
        <v>475</v>
      </c>
      <c r="AR26" s="398" t="s">
        <v>441</v>
      </c>
      <c r="AS26" s="398" t="s">
        <v>455</v>
      </c>
      <c r="AV26" s="397"/>
      <c r="AW26" s="397"/>
      <c r="AX26" s="397"/>
      <c r="AY26" s="397"/>
    </row>
    <row r="27" spans="1:55" x14ac:dyDescent="0.2">
      <c r="A27" s="397">
        <v>5066</v>
      </c>
      <c r="B27" s="398" t="s">
        <v>454</v>
      </c>
      <c r="C27" s="398" t="s">
        <v>453</v>
      </c>
      <c r="D27" s="398" t="s">
        <v>4</v>
      </c>
      <c r="E27" s="398" t="s">
        <v>633</v>
      </c>
      <c r="F27" s="399" t="s">
        <v>420</v>
      </c>
      <c r="G27" s="398" t="s">
        <v>510</v>
      </c>
      <c r="H27" s="399" t="s">
        <v>458</v>
      </c>
      <c r="I27" s="398" t="s">
        <v>510</v>
      </c>
      <c r="J27" s="399" t="s">
        <v>461</v>
      </c>
      <c r="K27" s="399" t="s">
        <v>461</v>
      </c>
      <c r="L27" s="399" t="s">
        <v>461</v>
      </c>
      <c r="M27" s="399" t="s">
        <v>461</v>
      </c>
      <c r="N27" s="399" t="s">
        <v>461</v>
      </c>
      <c r="O27" s="399" t="s">
        <v>461</v>
      </c>
      <c r="P27" s="398" t="s">
        <v>461</v>
      </c>
      <c r="Q27" s="398" t="s">
        <v>461</v>
      </c>
      <c r="R27" s="398" t="s">
        <v>461</v>
      </c>
      <c r="S27" s="398" t="s">
        <v>461</v>
      </c>
      <c r="T27" s="398" t="s">
        <v>461</v>
      </c>
      <c r="U27" s="398" t="s">
        <v>461</v>
      </c>
      <c r="V27" s="398" t="s">
        <v>679</v>
      </c>
      <c r="W27" s="398" t="s">
        <v>461</v>
      </c>
      <c r="X27" s="398" t="s">
        <v>461</v>
      </c>
      <c r="Y27" s="398" t="s">
        <v>461</v>
      </c>
      <c r="Z27" s="398" t="s">
        <v>461</v>
      </c>
      <c r="AA27" s="398" t="s">
        <v>461</v>
      </c>
      <c r="AB27" s="398" t="s">
        <v>461</v>
      </c>
      <c r="AC27" s="399" t="s">
        <v>461</v>
      </c>
      <c r="AD27" s="398" t="s">
        <v>269</v>
      </c>
      <c r="AE27" s="399" t="s">
        <v>615</v>
      </c>
      <c r="AF27" s="398" t="s">
        <v>620</v>
      </c>
      <c r="AG27" s="399" t="s">
        <v>621</v>
      </c>
      <c r="AH27" s="429" t="s">
        <v>464</v>
      </c>
      <c r="AI27" s="400" t="s">
        <v>613</v>
      </c>
      <c r="AJ27" s="399" t="s">
        <v>512</v>
      </c>
      <c r="AK27" s="398" t="s">
        <v>618</v>
      </c>
      <c r="AL27" s="399" t="s">
        <v>513</v>
      </c>
      <c r="AM27" s="398" t="s">
        <v>619</v>
      </c>
      <c r="AN27" s="398" t="s">
        <v>514</v>
      </c>
      <c r="AO27" s="398" t="s">
        <v>461</v>
      </c>
      <c r="AP27" s="398" t="s">
        <v>466</v>
      </c>
      <c r="AQ27" s="400" t="s">
        <v>475</v>
      </c>
      <c r="AR27" s="398" t="s">
        <v>441</v>
      </c>
      <c r="AS27" s="398" t="s">
        <v>455</v>
      </c>
      <c r="AV27" s="397"/>
      <c r="AW27" s="397"/>
      <c r="AX27" s="397"/>
      <c r="AY27" s="397"/>
    </row>
    <row r="28" spans="1:55" x14ac:dyDescent="0.2">
      <c r="A28" s="397">
        <v>5081</v>
      </c>
      <c r="B28" s="398" t="s">
        <v>327</v>
      </c>
      <c r="C28" s="398" t="s">
        <v>634</v>
      </c>
      <c r="D28" s="398" t="s">
        <v>4</v>
      </c>
      <c r="E28" s="398" t="s">
        <v>611</v>
      </c>
      <c r="F28" s="399" t="s">
        <v>420</v>
      </c>
      <c r="G28" s="398" t="s">
        <v>611</v>
      </c>
      <c r="H28" s="399" t="s">
        <v>458</v>
      </c>
      <c r="I28" s="398" t="s">
        <v>611</v>
      </c>
      <c r="J28" s="399" t="s">
        <v>461</v>
      </c>
      <c r="K28" s="399" t="s">
        <v>461</v>
      </c>
      <c r="L28" s="399" t="s">
        <v>461</v>
      </c>
      <c r="M28" s="399" t="s">
        <v>461</v>
      </c>
      <c r="N28" s="399" t="s">
        <v>461</v>
      </c>
      <c r="O28" s="399" t="s">
        <v>461</v>
      </c>
      <c r="P28" s="398" t="s">
        <v>461</v>
      </c>
      <c r="Q28" s="398" t="s">
        <v>461</v>
      </c>
      <c r="R28" s="398" t="s">
        <v>461</v>
      </c>
      <c r="S28" s="398" t="s">
        <v>461</v>
      </c>
      <c r="T28" s="398" t="s">
        <v>461</v>
      </c>
      <c r="U28" s="398" t="s">
        <v>461</v>
      </c>
      <c r="V28" s="398" t="s">
        <v>679</v>
      </c>
      <c r="W28" s="398" t="s">
        <v>461</v>
      </c>
      <c r="X28" s="398" t="s">
        <v>461</v>
      </c>
      <c r="Y28" s="398" t="s">
        <v>461</v>
      </c>
      <c r="Z28" s="398" t="s">
        <v>461</v>
      </c>
      <c r="AA28" s="398" t="s">
        <v>461</v>
      </c>
      <c r="AB28" s="398" t="s">
        <v>461</v>
      </c>
      <c r="AC28" s="399" t="s">
        <v>461</v>
      </c>
      <c r="AD28" s="398" t="s">
        <v>269</v>
      </c>
      <c r="AE28" s="399" t="s">
        <v>615</v>
      </c>
      <c r="AF28" s="398" t="s">
        <v>616</v>
      </c>
      <c r="AG28" s="399" t="s">
        <v>617</v>
      </c>
      <c r="AH28" s="429" t="s">
        <v>464</v>
      </c>
      <c r="AI28" s="400" t="s">
        <v>613</v>
      </c>
      <c r="AJ28" s="399" t="s">
        <v>512</v>
      </c>
      <c r="AK28" s="398" t="s">
        <v>618</v>
      </c>
      <c r="AL28" s="399" t="s">
        <v>513</v>
      </c>
      <c r="AM28" s="398" t="s">
        <v>619</v>
      </c>
      <c r="AN28" s="398" t="s">
        <v>514</v>
      </c>
      <c r="AO28" s="398" t="s">
        <v>476</v>
      </c>
      <c r="AP28" s="398" t="s">
        <v>466</v>
      </c>
      <c r="AQ28" s="400" t="s">
        <v>475</v>
      </c>
      <c r="AR28" s="398" t="s">
        <v>441</v>
      </c>
      <c r="AS28" s="398" t="s">
        <v>635</v>
      </c>
      <c r="AV28" s="397"/>
      <c r="AW28" s="397"/>
      <c r="AX28" s="397"/>
      <c r="AY28" s="397"/>
    </row>
    <row r="29" spans="1:55" x14ac:dyDescent="0.2">
      <c r="A29" s="397">
        <v>5101</v>
      </c>
      <c r="B29" s="398" t="s">
        <v>641</v>
      </c>
      <c r="C29" s="398" t="s">
        <v>643</v>
      </c>
      <c r="D29" s="398" t="s">
        <v>4</v>
      </c>
      <c r="E29" s="398" t="s">
        <v>413</v>
      </c>
      <c r="F29" s="399" t="s">
        <v>420</v>
      </c>
      <c r="G29" s="398" t="s">
        <v>636</v>
      </c>
      <c r="H29" s="399" t="s">
        <v>458</v>
      </c>
      <c r="I29" s="398" t="s">
        <v>510</v>
      </c>
      <c r="J29" s="399" t="s">
        <v>461</v>
      </c>
      <c r="K29" s="399" t="s">
        <v>461</v>
      </c>
      <c r="L29" s="399" t="s">
        <v>461</v>
      </c>
      <c r="M29" s="399" t="s">
        <v>461</v>
      </c>
      <c r="N29" s="399" t="s">
        <v>461</v>
      </c>
      <c r="O29" s="399" t="s">
        <v>461</v>
      </c>
      <c r="P29" s="398" t="s">
        <v>461</v>
      </c>
      <c r="Q29" s="398" t="s">
        <v>461</v>
      </c>
      <c r="R29" s="398" t="s">
        <v>461</v>
      </c>
      <c r="S29" s="398" t="s">
        <v>461</v>
      </c>
      <c r="T29" s="398" t="s">
        <v>461</v>
      </c>
      <c r="U29" s="398" t="s">
        <v>461</v>
      </c>
      <c r="V29" s="398" t="s">
        <v>679</v>
      </c>
      <c r="W29" s="398" t="s">
        <v>461</v>
      </c>
      <c r="X29" s="398" t="s">
        <v>461</v>
      </c>
      <c r="Y29" s="398" t="s">
        <v>461</v>
      </c>
      <c r="Z29" s="398" t="s">
        <v>461</v>
      </c>
      <c r="AA29" s="398" t="s">
        <v>461</v>
      </c>
      <c r="AB29" s="398" t="s">
        <v>461</v>
      </c>
      <c r="AC29" s="399" t="s">
        <v>461</v>
      </c>
      <c r="AF29" s="398" t="s">
        <v>22</v>
      </c>
      <c r="AG29" s="398" t="s">
        <v>612</v>
      </c>
      <c r="AH29" s="429" t="s">
        <v>464</v>
      </c>
      <c r="AI29" s="400" t="s">
        <v>613</v>
      </c>
      <c r="AJ29" s="399" t="s">
        <v>512</v>
      </c>
      <c r="AK29" s="398" t="s">
        <v>637</v>
      </c>
      <c r="AL29" s="399" t="s">
        <v>513</v>
      </c>
      <c r="AM29" s="398" t="s">
        <v>638</v>
      </c>
      <c r="AN29" s="398" t="s">
        <v>514</v>
      </c>
      <c r="AO29" s="398" t="s">
        <v>476</v>
      </c>
      <c r="AP29" s="398" t="s">
        <v>466</v>
      </c>
      <c r="AQ29" s="400" t="s">
        <v>471</v>
      </c>
      <c r="AR29" s="398" t="s">
        <v>441</v>
      </c>
      <c r="AS29" s="398" t="s">
        <v>639</v>
      </c>
    </row>
    <row r="30" spans="1:55" x14ac:dyDescent="0.2">
      <c r="A30" s="397">
        <v>5111</v>
      </c>
      <c r="B30" s="398" t="s">
        <v>640</v>
      </c>
      <c r="C30" s="398" t="s">
        <v>642</v>
      </c>
      <c r="D30" s="398" t="s">
        <v>4</v>
      </c>
      <c r="E30" s="398" t="s">
        <v>644</v>
      </c>
      <c r="F30" s="399" t="s">
        <v>420</v>
      </c>
      <c r="G30" s="398" t="s">
        <v>456</v>
      </c>
      <c r="H30" s="399" t="s">
        <v>508</v>
      </c>
      <c r="I30" s="398" t="s">
        <v>645</v>
      </c>
      <c r="J30" s="399" t="s">
        <v>508</v>
      </c>
      <c r="K30" s="398" t="s">
        <v>646</v>
      </c>
      <c r="L30" s="399" t="s">
        <v>461</v>
      </c>
      <c r="M30" s="399" t="s">
        <v>461</v>
      </c>
      <c r="N30" s="399" t="s">
        <v>461</v>
      </c>
      <c r="O30" s="399" t="s">
        <v>461</v>
      </c>
      <c r="P30" s="398" t="s">
        <v>461</v>
      </c>
      <c r="Q30" s="398" t="s">
        <v>461</v>
      </c>
      <c r="R30" s="398" t="s">
        <v>461</v>
      </c>
      <c r="S30" s="398" t="s">
        <v>461</v>
      </c>
      <c r="T30" s="398" t="s">
        <v>461</v>
      </c>
      <c r="U30" s="398" t="s">
        <v>461</v>
      </c>
      <c r="V30" s="398" t="s">
        <v>679</v>
      </c>
      <c r="W30" s="398" t="s">
        <v>461</v>
      </c>
      <c r="X30" s="398" t="s">
        <v>461</v>
      </c>
      <c r="Y30" s="398" t="s">
        <v>461</v>
      </c>
      <c r="Z30" s="398" t="s">
        <v>461</v>
      </c>
      <c r="AA30" s="398" t="s">
        <v>461</v>
      </c>
      <c r="AB30" s="398" t="s">
        <v>461</v>
      </c>
      <c r="AC30" s="399" t="s">
        <v>461</v>
      </c>
      <c r="AD30" s="398" t="s">
        <v>461</v>
      </c>
      <c r="AE30" s="398" t="s">
        <v>461</v>
      </c>
      <c r="AF30" s="398" t="s">
        <v>22</v>
      </c>
      <c r="AG30" s="398" t="s">
        <v>612</v>
      </c>
      <c r="AH30" s="429" t="s">
        <v>464</v>
      </c>
      <c r="AI30" s="400" t="s">
        <v>647</v>
      </c>
      <c r="AJ30" s="399" t="s">
        <v>512</v>
      </c>
      <c r="AK30" s="398" t="s">
        <v>637</v>
      </c>
      <c r="AL30" s="399" t="s">
        <v>513</v>
      </c>
      <c r="AM30" s="398" t="s">
        <v>638</v>
      </c>
      <c r="AN30" s="398" t="s">
        <v>514</v>
      </c>
      <c r="AO30" s="398" t="s">
        <v>476</v>
      </c>
      <c r="AP30" s="398" t="s">
        <v>466</v>
      </c>
      <c r="AQ30" s="400" t="s">
        <v>471</v>
      </c>
      <c r="AR30" s="398" t="s">
        <v>441</v>
      </c>
      <c r="AS30" s="398" t="s">
        <v>639</v>
      </c>
    </row>
    <row r="31" spans="1:55" x14ac:dyDescent="0.2">
      <c r="A31" s="397">
        <v>5301</v>
      </c>
      <c r="B31" s="398" t="s">
        <v>46</v>
      </c>
      <c r="C31" s="398" t="s">
        <v>648</v>
      </c>
      <c r="D31" s="398" t="s">
        <v>649</v>
      </c>
      <c r="E31" s="398" t="s">
        <v>650</v>
      </c>
      <c r="F31" s="398" t="s">
        <v>651</v>
      </c>
      <c r="G31" s="398" t="s">
        <v>652</v>
      </c>
      <c r="H31" s="399" t="s">
        <v>653</v>
      </c>
      <c r="I31" s="398" t="s">
        <v>654</v>
      </c>
      <c r="J31" s="399" t="s">
        <v>655</v>
      </c>
      <c r="K31" s="399" t="s">
        <v>656</v>
      </c>
      <c r="L31" s="399" t="s">
        <v>657</v>
      </c>
      <c r="M31" s="399" t="s">
        <v>658</v>
      </c>
      <c r="N31" s="399" t="s">
        <v>508</v>
      </c>
      <c r="O31" s="399" t="s">
        <v>659</v>
      </c>
      <c r="P31" s="398" t="s">
        <v>461</v>
      </c>
      <c r="Q31" s="398" t="s">
        <v>660</v>
      </c>
      <c r="R31" s="398" t="s">
        <v>461</v>
      </c>
      <c r="S31" s="398" t="s">
        <v>461</v>
      </c>
      <c r="T31" s="398" t="s">
        <v>461</v>
      </c>
      <c r="U31" s="398" t="s">
        <v>461</v>
      </c>
      <c r="V31" s="398" t="s">
        <v>679</v>
      </c>
      <c r="W31" s="398" t="s">
        <v>461</v>
      </c>
      <c r="X31" s="398" t="s">
        <v>461</v>
      </c>
      <c r="Y31" s="398" t="s">
        <v>461</v>
      </c>
      <c r="Z31" s="398" t="s">
        <v>461</v>
      </c>
      <c r="AA31" s="398" t="s">
        <v>461</v>
      </c>
      <c r="AB31" s="398" t="s">
        <v>461</v>
      </c>
      <c r="AC31" s="399" t="s">
        <v>461</v>
      </c>
      <c r="AD31" s="398" t="s">
        <v>269</v>
      </c>
      <c r="AE31" s="399" t="s">
        <v>661</v>
      </c>
      <c r="AF31" s="429" t="s">
        <v>464</v>
      </c>
      <c r="AG31" s="400" t="s">
        <v>662</v>
      </c>
      <c r="AH31" s="429" t="s">
        <v>464</v>
      </c>
      <c r="AI31" s="400" t="s">
        <v>663</v>
      </c>
      <c r="AJ31" s="399" t="s">
        <v>512</v>
      </c>
      <c r="AK31" s="398" t="s">
        <v>664</v>
      </c>
      <c r="AL31" s="399" t="s">
        <v>513</v>
      </c>
      <c r="AM31" s="398" t="s">
        <v>665</v>
      </c>
      <c r="AN31" s="398" t="s">
        <v>514</v>
      </c>
      <c r="AO31" s="398" t="s">
        <v>476</v>
      </c>
      <c r="AP31" s="398" t="s">
        <v>466</v>
      </c>
      <c r="AQ31" s="400" t="s">
        <v>474</v>
      </c>
      <c r="AR31" s="398" t="s">
        <v>441</v>
      </c>
      <c r="AS31" s="398" t="s">
        <v>666</v>
      </c>
      <c r="AV31" s="397"/>
      <c r="AW31" s="397"/>
      <c r="AX31" s="401"/>
      <c r="AY31" s="397"/>
    </row>
    <row r="32" spans="1:55" x14ac:dyDescent="0.2">
      <c r="A32" s="397">
        <v>5302</v>
      </c>
      <c r="B32" s="398" t="s">
        <v>47</v>
      </c>
      <c r="C32" s="398" t="s">
        <v>667</v>
      </c>
      <c r="D32" s="398" t="s">
        <v>649</v>
      </c>
      <c r="E32" s="398" t="s">
        <v>650</v>
      </c>
      <c r="F32" s="398" t="s">
        <v>651</v>
      </c>
      <c r="G32" s="398" t="s">
        <v>652</v>
      </c>
      <c r="H32" s="399" t="s">
        <v>653</v>
      </c>
      <c r="I32" s="398" t="s">
        <v>654</v>
      </c>
      <c r="J32" s="399" t="s">
        <v>655</v>
      </c>
      <c r="K32" s="399" t="s">
        <v>656</v>
      </c>
      <c r="L32" s="399" t="s">
        <v>657</v>
      </c>
      <c r="M32" s="399" t="s">
        <v>658</v>
      </c>
      <c r="N32" s="399" t="s">
        <v>508</v>
      </c>
      <c r="O32" s="399" t="s">
        <v>659</v>
      </c>
      <c r="P32" s="398" t="s">
        <v>461</v>
      </c>
      <c r="Q32" s="398" t="s">
        <v>660</v>
      </c>
      <c r="R32" s="398" t="s">
        <v>461</v>
      </c>
      <c r="S32" s="398" t="s">
        <v>461</v>
      </c>
      <c r="T32" s="398" t="s">
        <v>461</v>
      </c>
      <c r="U32" s="398" t="s">
        <v>461</v>
      </c>
      <c r="V32" s="398" t="s">
        <v>679</v>
      </c>
      <c r="W32" s="398" t="s">
        <v>461</v>
      </c>
      <c r="X32" s="398" t="s">
        <v>461</v>
      </c>
      <c r="Y32" s="398" t="s">
        <v>461</v>
      </c>
      <c r="Z32" s="398" t="s">
        <v>461</v>
      </c>
      <c r="AA32" s="398" t="s">
        <v>461</v>
      </c>
      <c r="AB32" s="398" t="s">
        <v>461</v>
      </c>
      <c r="AC32" s="399" t="s">
        <v>461</v>
      </c>
      <c r="AD32" s="398" t="s">
        <v>269</v>
      </c>
      <c r="AE32" s="399" t="s">
        <v>661</v>
      </c>
      <c r="AF32" s="429" t="s">
        <v>464</v>
      </c>
      <c r="AG32" s="400" t="s">
        <v>662</v>
      </c>
      <c r="AH32" s="429" t="s">
        <v>464</v>
      </c>
      <c r="AI32" s="400" t="s">
        <v>663</v>
      </c>
      <c r="AJ32" s="399" t="s">
        <v>512</v>
      </c>
      <c r="AK32" s="398" t="s">
        <v>664</v>
      </c>
      <c r="AL32" s="399" t="s">
        <v>513</v>
      </c>
      <c r="AM32" s="398" t="s">
        <v>665</v>
      </c>
      <c r="AN32" s="398" t="s">
        <v>514</v>
      </c>
      <c r="AO32" s="398" t="s">
        <v>476</v>
      </c>
      <c r="AP32" s="398" t="s">
        <v>466</v>
      </c>
      <c r="AQ32" s="400" t="s">
        <v>474</v>
      </c>
      <c r="AR32" s="398" t="s">
        <v>441</v>
      </c>
      <c r="AS32" s="398" t="s">
        <v>666</v>
      </c>
      <c r="AV32" s="397"/>
      <c r="AW32" s="397"/>
      <c r="AX32" s="397"/>
      <c r="AY32" s="397"/>
      <c r="BB32" s="398" t="s">
        <v>441</v>
      </c>
      <c r="BC32" s="398" t="s">
        <v>334</v>
      </c>
    </row>
    <row r="33" spans="1:55" x14ac:dyDescent="0.2">
      <c r="A33" s="397">
        <v>5321</v>
      </c>
      <c r="B33" s="398" t="s">
        <v>668</v>
      </c>
      <c r="D33" s="398" t="s">
        <v>669</v>
      </c>
      <c r="E33" s="398" t="s">
        <v>591</v>
      </c>
      <c r="F33" s="399" t="s">
        <v>670</v>
      </c>
      <c r="G33" s="398" t="s">
        <v>671</v>
      </c>
      <c r="H33" s="399" t="s">
        <v>559</v>
      </c>
      <c r="I33" s="398" t="s">
        <v>672</v>
      </c>
      <c r="J33" s="399" t="s">
        <v>420</v>
      </c>
      <c r="K33" s="399" t="s">
        <v>676</v>
      </c>
      <c r="L33" s="399" t="s">
        <v>458</v>
      </c>
      <c r="M33" s="399" t="s">
        <v>673</v>
      </c>
      <c r="N33" s="399" t="s">
        <v>461</v>
      </c>
      <c r="O33" s="399" t="s">
        <v>674</v>
      </c>
      <c r="P33" s="399" t="s">
        <v>458</v>
      </c>
      <c r="Q33" s="399" t="s">
        <v>675</v>
      </c>
      <c r="R33" s="398" t="s">
        <v>461</v>
      </c>
      <c r="S33" s="398" t="s">
        <v>461</v>
      </c>
      <c r="T33" s="398" t="s">
        <v>461</v>
      </c>
      <c r="U33" s="398" t="s">
        <v>461</v>
      </c>
      <c r="V33" s="398" t="s">
        <v>679</v>
      </c>
      <c r="W33" s="398" t="s">
        <v>461</v>
      </c>
      <c r="X33" s="398" t="s">
        <v>461</v>
      </c>
      <c r="Y33" s="398" t="s">
        <v>461</v>
      </c>
      <c r="Z33" s="398" t="s">
        <v>461</v>
      </c>
      <c r="AA33" s="398" t="s">
        <v>461</v>
      </c>
      <c r="AB33" s="398" t="s">
        <v>461</v>
      </c>
      <c r="AC33" s="399" t="s">
        <v>461</v>
      </c>
      <c r="AD33" s="398" t="s">
        <v>461</v>
      </c>
      <c r="AE33" s="398" t="s">
        <v>461</v>
      </c>
      <c r="AF33" s="398" t="s">
        <v>269</v>
      </c>
      <c r="AG33" s="399" t="s">
        <v>607</v>
      </c>
      <c r="AH33" s="429" t="s">
        <v>464</v>
      </c>
      <c r="AI33" s="400" t="s">
        <v>677</v>
      </c>
      <c r="AJ33" s="399" t="s">
        <v>512</v>
      </c>
      <c r="AK33" s="398" t="s">
        <v>451</v>
      </c>
      <c r="AL33" s="399"/>
      <c r="AM33" s="398" t="s">
        <v>461</v>
      </c>
      <c r="AN33" s="398" t="s">
        <v>514</v>
      </c>
      <c r="AO33" s="398" t="s">
        <v>476</v>
      </c>
      <c r="AP33" s="398" t="s">
        <v>466</v>
      </c>
      <c r="AQ33" s="400" t="s">
        <v>471</v>
      </c>
      <c r="AR33" s="398" t="s">
        <v>441</v>
      </c>
      <c r="AS33" s="398" t="s">
        <v>678</v>
      </c>
      <c r="AV33" s="397"/>
      <c r="AW33" s="397"/>
      <c r="AX33" s="397"/>
      <c r="AY33" s="397"/>
      <c r="BB33" s="398" t="s">
        <v>441</v>
      </c>
      <c r="BC33" s="398" t="s">
        <v>196</v>
      </c>
    </row>
    <row r="34" spans="1:55" x14ac:dyDescent="0.2">
      <c r="A34" s="397">
        <v>6001</v>
      </c>
      <c r="B34" s="398" t="s">
        <v>685</v>
      </c>
      <c r="C34" s="398" t="s">
        <v>485</v>
      </c>
      <c r="D34" s="398" t="s">
        <v>687</v>
      </c>
      <c r="E34" s="398" t="s">
        <v>686</v>
      </c>
      <c r="F34" s="399" t="s">
        <v>689</v>
      </c>
      <c r="G34" s="398" t="s">
        <v>690</v>
      </c>
      <c r="H34" s="399" t="s">
        <v>688</v>
      </c>
      <c r="I34" s="398" t="s">
        <v>461</v>
      </c>
      <c r="J34" s="399" t="s">
        <v>691</v>
      </c>
      <c r="K34" s="399" t="s">
        <v>611</v>
      </c>
      <c r="L34" s="399" t="s">
        <v>458</v>
      </c>
      <c r="M34" s="399" t="s">
        <v>611</v>
      </c>
      <c r="N34" s="399" t="s">
        <v>697</v>
      </c>
      <c r="O34" s="399" t="s">
        <v>692</v>
      </c>
      <c r="P34" s="399" t="s">
        <v>698</v>
      </c>
      <c r="Q34" s="399" t="s">
        <v>693</v>
      </c>
      <c r="R34" s="398" t="s">
        <v>721</v>
      </c>
      <c r="S34" s="398" t="s">
        <v>461</v>
      </c>
      <c r="T34" s="398" t="s">
        <v>461</v>
      </c>
      <c r="U34" s="398" t="s">
        <v>461</v>
      </c>
      <c r="V34" s="398" t="s">
        <v>679</v>
      </c>
      <c r="W34" s="398" t="s">
        <v>681</v>
      </c>
      <c r="X34" s="398" t="s">
        <v>461</v>
      </c>
      <c r="Y34" s="398" t="s">
        <v>461</v>
      </c>
      <c r="Z34" s="398" t="s">
        <v>461</v>
      </c>
      <c r="AA34" s="398" t="s">
        <v>461</v>
      </c>
      <c r="AB34" s="398" t="s">
        <v>461</v>
      </c>
      <c r="AC34" s="399" t="s">
        <v>461</v>
      </c>
      <c r="AD34" s="398" t="s">
        <v>461</v>
      </c>
      <c r="AE34" s="398" t="s">
        <v>461</v>
      </c>
      <c r="AF34" s="398" t="s">
        <v>269</v>
      </c>
      <c r="AG34" s="399" t="s">
        <v>461</v>
      </c>
      <c r="AH34" s="429" t="s">
        <v>464</v>
      </c>
      <c r="AI34" s="400" t="s">
        <v>461</v>
      </c>
      <c r="AJ34" s="399" t="s">
        <v>512</v>
      </c>
      <c r="AK34" s="398" t="s">
        <v>461</v>
      </c>
      <c r="AL34" s="399" t="s">
        <v>513</v>
      </c>
      <c r="AM34" s="398" t="s">
        <v>461</v>
      </c>
      <c r="AN34" s="398" t="s">
        <v>514</v>
      </c>
      <c r="AO34" s="398" t="s">
        <v>461</v>
      </c>
      <c r="AP34" s="398" t="s">
        <v>466</v>
      </c>
      <c r="AQ34" s="400" t="s">
        <v>471</v>
      </c>
      <c r="AR34" s="398" t="s">
        <v>441</v>
      </c>
      <c r="AS34" s="398" t="s">
        <v>699</v>
      </c>
      <c r="AV34" s="397" t="s">
        <v>336</v>
      </c>
      <c r="AW34" s="397"/>
      <c r="AX34" s="401">
        <v>0.13769999999999999</v>
      </c>
      <c r="AY34" s="401" t="s">
        <v>341</v>
      </c>
      <c r="AZ34" s="398" t="s">
        <v>333</v>
      </c>
      <c r="BB34" s="398" t="s">
        <v>441</v>
      </c>
      <c r="BC34" s="398" t="s">
        <v>305</v>
      </c>
    </row>
    <row r="35" spans="1:55" x14ac:dyDescent="0.2">
      <c r="A35" s="397">
        <v>6101</v>
      </c>
      <c r="B35" s="398" t="s">
        <v>469</v>
      </c>
      <c r="C35" s="398" t="s">
        <v>457</v>
      </c>
      <c r="D35" s="398" t="s">
        <v>4</v>
      </c>
      <c r="E35" s="398" t="s">
        <v>463</v>
      </c>
      <c r="F35" s="399" t="s">
        <v>420</v>
      </c>
      <c r="G35" s="398" t="s">
        <v>462</v>
      </c>
      <c r="H35" s="399" t="s">
        <v>461</v>
      </c>
      <c r="I35" s="398" t="s">
        <v>472</v>
      </c>
      <c r="J35" s="399" t="s">
        <v>458</v>
      </c>
      <c r="K35" s="398" t="s">
        <v>459</v>
      </c>
      <c r="L35" s="399" t="s">
        <v>458</v>
      </c>
      <c r="M35" s="398" t="s">
        <v>460</v>
      </c>
      <c r="N35" s="398" t="s">
        <v>22</v>
      </c>
      <c r="O35" s="433" t="s">
        <v>470</v>
      </c>
      <c r="P35" s="398" t="s">
        <v>464</v>
      </c>
      <c r="Q35" s="398" t="s">
        <v>465</v>
      </c>
      <c r="R35" s="398" t="s">
        <v>467</v>
      </c>
      <c r="S35" s="398" t="s">
        <v>468</v>
      </c>
      <c r="T35" s="398" t="s">
        <v>461</v>
      </c>
      <c r="U35" s="398" t="s">
        <v>461</v>
      </c>
      <c r="V35" s="398" t="s">
        <v>679</v>
      </c>
      <c r="W35" s="398" t="s">
        <v>681</v>
      </c>
      <c r="X35" s="398" t="s">
        <v>461</v>
      </c>
      <c r="Y35" s="398" t="s">
        <v>467</v>
      </c>
      <c r="Z35" s="398" t="s">
        <v>468</v>
      </c>
      <c r="AA35" s="398" t="s">
        <v>461</v>
      </c>
      <c r="AB35" s="398" t="s">
        <v>461</v>
      </c>
      <c r="AC35" s="398" t="s">
        <v>461</v>
      </c>
      <c r="AD35" s="398" t="s">
        <v>461</v>
      </c>
      <c r="AE35" s="398" t="s">
        <v>461</v>
      </c>
      <c r="AF35" s="398" t="s">
        <v>269</v>
      </c>
      <c r="AG35" s="399" t="s">
        <v>694</v>
      </c>
      <c r="AH35" s="429" t="s">
        <v>464</v>
      </c>
      <c r="AI35" s="400" t="s">
        <v>726</v>
      </c>
      <c r="AJ35" s="399" t="s">
        <v>512</v>
      </c>
      <c r="AK35" s="398" t="s">
        <v>451</v>
      </c>
      <c r="AL35" s="399" t="s">
        <v>513</v>
      </c>
      <c r="AM35" s="398" t="s">
        <v>461</v>
      </c>
      <c r="AN35" s="398" t="s">
        <v>514</v>
      </c>
      <c r="AO35" s="398" t="s">
        <v>476</v>
      </c>
      <c r="AP35" s="398" t="s">
        <v>466</v>
      </c>
      <c r="AQ35" s="400" t="s">
        <v>471</v>
      </c>
      <c r="AR35" s="398" t="s">
        <v>441</v>
      </c>
      <c r="AS35" s="398" t="s">
        <v>700</v>
      </c>
      <c r="AT35" s="402"/>
      <c r="AV35" s="397"/>
      <c r="AW35" s="397" t="s">
        <v>461</v>
      </c>
      <c r="AX35" s="397"/>
      <c r="AY35" s="397"/>
    </row>
    <row r="36" spans="1:55" x14ac:dyDescent="0.2">
      <c r="A36" s="397">
        <v>6203</v>
      </c>
      <c r="B36" s="398" t="s">
        <v>48</v>
      </c>
      <c r="C36" s="398" t="s">
        <v>358</v>
      </c>
      <c r="D36" s="398" t="s">
        <v>4</v>
      </c>
      <c r="F36" s="399" t="s">
        <v>420</v>
      </c>
      <c r="H36" s="399" t="s">
        <v>458</v>
      </c>
      <c r="J36" s="399" t="s">
        <v>461</v>
      </c>
      <c r="K36" s="399" t="s">
        <v>461</v>
      </c>
      <c r="L36" s="399" t="s">
        <v>461</v>
      </c>
      <c r="M36" s="399" t="s">
        <v>461</v>
      </c>
      <c r="N36" s="399" t="s">
        <v>461</v>
      </c>
      <c r="O36" s="399" t="s">
        <v>461</v>
      </c>
      <c r="P36" s="398" t="s">
        <v>461</v>
      </c>
      <c r="Q36" s="398" t="s">
        <v>461</v>
      </c>
      <c r="R36" s="398" t="s">
        <v>461</v>
      </c>
      <c r="S36" s="398" t="s">
        <v>461</v>
      </c>
      <c r="T36" s="398" t="s">
        <v>461</v>
      </c>
      <c r="U36" s="398" t="s">
        <v>461</v>
      </c>
      <c r="V36" s="398" t="s">
        <v>679</v>
      </c>
      <c r="W36" s="398" t="s">
        <v>461</v>
      </c>
      <c r="X36" s="398" t="s">
        <v>461</v>
      </c>
      <c r="Y36" s="398" t="s">
        <v>461</v>
      </c>
      <c r="Z36" s="398" t="s">
        <v>461</v>
      </c>
      <c r="AA36" s="398" t="s">
        <v>461</v>
      </c>
      <c r="AB36" s="398" t="s">
        <v>461</v>
      </c>
      <c r="AC36" s="399" t="s">
        <v>461</v>
      </c>
      <c r="AD36" s="398" t="s">
        <v>461</v>
      </c>
      <c r="AE36" s="398" t="s">
        <v>461</v>
      </c>
      <c r="AF36" s="398" t="s">
        <v>269</v>
      </c>
      <c r="AG36" s="399" t="s">
        <v>461</v>
      </c>
      <c r="AH36" s="429" t="s">
        <v>464</v>
      </c>
      <c r="AI36" s="400" t="s">
        <v>461</v>
      </c>
      <c r="AJ36" s="399" t="s">
        <v>512</v>
      </c>
      <c r="AK36" s="398" t="s">
        <v>461</v>
      </c>
      <c r="AL36" s="399" t="s">
        <v>513</v>
      </c>
      <c r="AM36" s="398" t="s">
        <v>461</v>
      </c>
      <c r="AN36" s="398" t="s">
        <v>514</v>
      </c>
      <c r="AO36" s="398" t="s">
        <v>461</v>
      </c>
      <c r="AP36" s="398" t="s">
        <v>466</v>
      </c>
      <c r="AQ36" s="400" t="s">
        <v>471</v>
      </c>
      <c r="AR36" s="398" t="s">
        <v>441</v>
      </c>
      <c r="AS36" s="398" t="s">
        <v>461</v>
      </c>
      <c r="AV36" s="397"/>
      <c r="AW36" s="397"/>
      <c r="AX36" s="397"/>
      <c r="AY36" s="397"/>
      <c r="BB36" s="398" t="s">
        <v>441</v>
      </c>
      <c r="BC36" s="398" t="s">
        <v>208</v>
      </c>
    </row>
    <row r="37" spans="1:55" x14ac:dyDescent="0.2">
      <c r="A37" s="397">
        <v>6401</v>
      </c>
      <c r="B37" s="398" t="s">
        <v>49</v>
      </c>
      <c r="C37" s="398" t="s">
        <v>335</v>
      </c>
      <c r="D37" s="398" t="s">
        <v>4</v>
      </c>
      <c r="F37" s="399" t="s">
        <v>420</v>
      </c>
      <c r="H37" s="399" t="s">
        <v>458</v>
      </c>
      <c r="J37" s="399" t="s">
        <v>461</v>
      </c>
      <c r="K37" s="399" t="s">
        <v>461</v>
      </c>
      <c r="L37" s="399" t="s">
        <v>461</v>
      </c>
      <c r="M37" s="399" t="s">
        <v>461</v>
      </c>
      <c r="N37" s="399" t="s">
        <v>461</v>
      </c>
      <c r="O37" s="399" t="s">
        <v>461</v>
      </c>
      <c r="P37" s="398" t="s">
        <v>461</v>
      </c>
      <c r="Q37" s="398" t="s">
        <v>461</v>
      </c>
      <c r="R37" s="398" t="s">
        <v>461</v>
      </c>
      <c r="S37" s="398" t="s">
        <v>461</v>
      </c>
      <c r="T37" s="398" t="s">
        <v>461</v>
      </c>
      <c r="U37" s="398" t="s">
        <v>461</v>
      </c>
      <c r="V37" s="398" t="s">
        <v>679</v>
      </c>
      <c r="W37" s="398" t="s">
        <v>461</v>
      </c>
      <c r="X37" s="398" t="s">
        <v>461</v>
      </c>
      <c r="Y37" s="398" t="s">
        <v>461</v>
      </c>
      <c r="Z37" s="398" t="s">
        <v>461</v>
      </c>
      <c r="AA37" s="398" t="s">
        <v>461</v>
      </c>
      <c r="AB37" s="398" t="s">
        <v>461</v>
      </c>
      <c r="AC37" s="399" t="s">
        <v>461</v>
      </c>
      <c r="AD37" s="398" t="s">
        <v>461</v>
      </c>
      <c r="AE37" s="398" t="s">
        <v>461</v>
      </c>
      <c r="AF37" s="398" t="s">
        <v>269</v>
      </c>
      <c r="AG37" s="399" t="s">
        <v>461</v>
      </c>
      <c r="AH37" s="429" t="s">
        <v>464</v>
      </c>
      <c r="AI37" s="400" t="s">
        <v>461</v>
      </c>
      <c r="AJ37" s="399" t="s">
        <v>512</v>
      </c>
      <c r="AK37" s="398" t="s">
        <v>461</v>
      </c>
      <c r="AL37" s="399" t="s">
        <v>513</v>
      </c>
      <c r="AM37" s="398" t="s">
        <v>461</v>
      </c>
      <c r="AN37" s="398" t="s">
        <v>514</v>
      </c>
      <c r="AO37" s="398" t="s">
        <v>461</v>
      </c>
      <c r="AP37" s="398" t="s">
        <v>466</v>
      </c>
      <c r="AQ37" s="400" t="s">
        <v>471</v>
      </c>
      <c r="AR37" s="398" t="s">
        <v>441</v>
      </c>
      <c r="AS37" s="398" t="s">
        <v>461</v>
      </c>
      <c r="AV37" s="397" t="s">
        <v>337</v>
      </c>
      <c r="AW37" s="397"/>
      <c r="AX37" s="403">
        <v>0.14000000000000001</v>
      </c>
      <c r="AY37" s="401" t="s">
        <v>339</v>
      </c>
      <c r="AZ37" s="398" t="s">
        <v>333</v>
      </c>
      <c r="BB37" s="398" t="s">
        <v>441</v>
      </c>
      <c r="BC37" s="398" t="s">
        <v>209</v>
      </c>
    </row>
    <row r="38" spans="1:55" x14ac:dyDescent="0.2">
      <c r="A38" s="397">
        <v>6402</v>
      </c>
      <c r="B38" s="398" t="s">
        <v>50</v>
      </c>
      <c r="C38" s="398" t="s">
        <v>359</v>
      </c>
      <c r="D38" s="398" t="s">
        <v>4</v>
      </c>
      <c r="F38" s="399" t="s">
        <v>420</v>
      </c>
      <c r="H38" s="399" t="s">
        <v>458</v>
      </c>
      <c r="J38" s="399" t="s">
        <v>461</v>
      </c>
      <c r="K38" s="399" t="s">
        <v>461</v>
      </c>
      <c r="L38" s="399" t="s">
        <v>461</v>
      </c>
      <c r="M38" s="399" t="s">
        <v>461</v>
      </c>
      <c r="N38" s="399" t="s">
        <v>461</v>
      </c>
      <c r="O38" s="399" t="s">
        <v>461</v>
      </c>
      <c r="P38" s="398" t="s">
        <v>461</v>
      </c>
      <c r="Q38" s="398" t="s">
        <v>461</v>
      </c>
      <c r="R38" s="398" t="s">
        <v>461</v>
      </c>
      <c r="S38" s="398" t="s">
        <v>461</v>
      </c>
      <c r="T38" s="398" t="s">
        <v>461</v>
      </c>
      <c r="U38" s="398" t="s">
        <v>461</v>
      </c>
      <c r="V38" s="398" t="s">
        <v>679</v>
      </c>
      <c r="W38" s="398" t="s">
        <v>461</v>
      </c>
      <c r="X38" s="398" t="s">
        <v>461</v>
      </c>
      <c r="Y38" s="398" t="s">
        <v>461</v>
      </c>
      <c r="Z38" s="398" t="s">
        <v>461</v>
      </c>
      <c r="AA38" s="398" t="s">
        <v>461</v>
      </c>
      <c r="AB38" s="398" t="s">
        <v>461</v>
      </c>
      <c r="AC38" s="399" t="s">
        <v>461</v>
      </c>
      <c r="AD38" s="398" t="s">
        <v>461</v>
      </c>
      <c r="AE38" s="398" t="s">
        <v>461</v>
      </c>
      <c r="AF38" s="398" t="s">
        <v>269</v>
      </c>
      <c r="AG38" s="399" t="s">
        <v>461</v>
      </c>
      <c r="AH38" s="429" t="s">
        <v>464</v>
      </c>
      <c r="AI38" s="400" t="s">
        <v>461</v>
      </c>
      <c r="AJ38" s="399" t="s">
        <v>512</v>
      </c>
      <c r="AK38" s="398" t="s">
        <v>461</v>
      </c>
      <c r="AL38" s="399" t="s">
        <v>513</v>
      </c>
      <c r="AM38" s="398" t="s">
        <v>461</v>
      </c>
      <c r="AN38" s="398" t="s">
        <v>514</v>
      </c>
      <c r="AO38" s="398" t="s">
        <v>461</v>
      </c>
      <c r="AP38" s="398" t="s">
        <v>466</v>
      </c>
      <c r="AQ38" s="400" t="s">
        <v>471</v>
      </c>
      <c r="AR38" s="398" t="s">
        <v>441</v>
      </c>
      <c r="AS38" s="398" t="s">
        <v>461</v>
      </c>
      <c r="AV38" s="397"/>
      <c r="AW38" s="397"/>
      <c r="AX38" s="397"/>
      <c r="AY38" s="397"/>
      <c r="BB38" s="398" t="s">
        <v>441</v>
      </c>
      <c r="BC38" s="398" t="s">
        <v>209</v>
      </c>
    </row>
    <row r="39" spans="1:55" x14ac:dyDescent="0.2">
      <c r="A39" s="397">
        <v>6441</v>
      </c>
      <c r="B39" s="398" t="s">
        <v>326</v>
      </c>
      <c r="C39" s="398" t="s">
        <v>325</v>
      </c>
      <c r="D39" s="398" t="s">
        <v>4</v>
      </c>
      <c r="F39" s="399" t="s">
        <v>420</v>
      </c>
      <c r="H39" s="399" t="s">
        <v>458</v>
      </c>
      <c r="J39" s="399" t="s">
        <v>461</v>
      </c>
      <c r="K39" s="399" t="s">
        <v>461</v>
      </c>
      <c r="L39" s="399" t="s">
        <v>461</v>
      </c>
      <c r="M39" s="399" t="s">
        <v>461</v>
      </c>
      <c r="N39" s="399" t="s">
        <v>461</v>
      </c>
      <c r="O39" s="399" t="s">
        <v>461</v>
      </c>
      <c r="P39" s="398" t="s">
        <v>461</v>
      </c>
      <c r="Q39" s="398" t="s">
        <v>461</v>
      </c>
      <c r="R39" s="398" t="s">
        <v>461</v>
      </c>
      <c r="S39" s="398" t="s">
        <v>461</v>
      </c>
      <c r="T39" s="398" t="s">
        <v>461</v>
      </c>
      <c r="U39" s="398" t="s">
        <v>461</v>
      </c>
      <c r="V39" s="398" t="s">
        <v>679</v>
      </c>
      <c r="W39" s="398" t="s">
        <v>461</v>
      </c>
      <c r="X39" s="398" t="s">
        <v>461</v>
      </c>
      <c r="Y39" s="398" t="s">
        <v>461</v>
      </c>
      <c r="Z39" s="398" t="s">
        <v>461</v>
      </c>
      <c r="AA39" s="398" t="s">
        <v>461</v>
      </c>
      <c r="AB39" s="398" t="s">
        <v>461</v>
      </c>
      <c r="AC39" s="399" t="s">
        <v>461</v>
      </c>
      <c r="AD39" s="398" t="s">
        <v>461</v>
      </c>
      <c r="AE39" s="398" t="s">
        <v>461</v>
      </c>
      <c r="AF39" s="398" t="s">
        <v>269</v>
      </c>
      <c r="AG39" s="399" t="s">
        <v>461</v>
      </c>
      <c r="AH39" s="429" t="s">
        <v>464</v>
      </c>
      <c r="AI39" s="400" t="s">
        <v>461</v>
      </c>
      <c r="AJ39" s="399" t="s">
        <v>512</v>
      </c>
      <c r="AK39" s="398" t="s">
        <v>461</v>
      </c>
      <c r="AL39" s="399" t="s">
        <v>513</v>
      </c>
      <c r="AM39" s="398" t="s">
        <v>461</v>
      </c>
      <c r="AN39" s="398" t="s">
        <v>514</v>
      </c>
      <c r="AO39" s="398" t="s">
        <v>461</v>
      </c>
      <c r="AP39" s="398" t="s">
        <v>466</v>
      </c>
      <c r="AQ39" s="400" t="s">
        <v>471</v>
      </c>
      <c r="AR39" s="398" t="s">
        <v>441</v>
      </c>
      <c r="AS39" s="398" t="s">
        <v>461</v>
      </c>
      <c r="AV39" s="397" t="s">
        <v>338</v>
      </c>
      <c r="AW39" s="397"/>
      <c r="AX39" s="401">
        <v>0.13</v>
      </c>
      <c r="AY39" s="401" t="s">
        <v>340</v>
      </c>
      <c r="AZ39" s="398" t="s">
        <v>333</v>
      </c>
      <c r="BB39" s="398" t="s">
        <v>441</v>
      </c>
      <c r="BC39" s="398" t="s">
        <v>297</v>
      </c>
    </row>
    <row r="40" spans="1:55" x14ac:dyDescent="0.2">
      <c r="A40" s="397">
        <v>6501</v>
      </c>
      <c r="B40" s="398" t="s">
        <v>51</v>
      </c>
      <c r="C40" s="398" t="s">
        <v>310</v>
      </c>
      <c r="D40" s="398" t="s">
        <v>4</v>
      </c>
      <c r="F40" s="399" t="s">
        <v>420</v>
      </c>
      <c r="H40" s="399" t="s">
        <v>458</v>
      </c>
      <c r="J40" s="399" t="s">
        <v>461</v>
      </c>
      <c r="K40" s="399" t="s">
        <v>461</v>
      </c>
      <c r="L40" s="399" t="s">
        <v>461</v>
      </c>
      <c r="M40" s="399" t="s">
        <v>461</v>
      </c>
      <c r="N40" s="399" t="s">
        <v>461</v>
      </c>
      <c r="O40" s="399" t="s">
        <v>461</v>
      </c>
      <c r="P40" s="398" t="s">
        <v>461</v>
      </c>
      <c r="Q40" s="398" t="s">
        <v>461</v>
      </c>
      <c r="R40" s="398" t="s">
        <v>461</v>
      </c>
      <c r="S40" s="398" t="s">
        <v>461</v>
      </c>
      <c r="T40" s="398" t="s">
        <v>461</v>
      </c>
      <c r="U40" s="398" t="s">
        <v>461</v>
      </c>
      <c r="V40" s="398" t="s">
        <v>679</v>
      </c>
      <c r="W40" s="398" t="s">
        <v>461</v>
      </c>
      <c r="X40" s="398" t="s">
        <v>461</v>
      </c>
      <c r="Y40" s="398" t="s">
        <v>461</v>
      </c>
      <c r="Z40" s="398" t="s">
        <v>461</v>
      </c>
      <c r="AA40" s="398" t="s">
        <v>461</v>
      </c>
      <c r="AB40" s="398" t="s">
        <v>461</v>
      </c>
      <c r="AC40" s="399" t="s">
        <v>461</v>
      </c>
      <c r="AD40" s="398" t="s">
        <v>461</v>
      </c>
      <c r="AE40" s="398" t="s">
        <v>461</v>
      </c>
      <c r="AF40" s="398" t="s">
        <v>269</v>
      </c>
      <c r="AG40" s="399" t="s">
        <v>461</v>
      </c>
      <c r="AH40" s="429" t="s">
        <v>464</v>
      </c>
      <c r="AI40" s="400" t="s">
        <v>461</v>
      </c>
      <c r="AJ40" s="399" t="s">
        <v>512</v>
      </c>
      <c r="AK40" s="398" t="s">
        <v>461</v>
      </c>
      <c r="AL40" s="399" t="s">
        <v>513</v>
      </c>
      <c r="AM40" s="398" t="s">
        <v>461</v>
      </c>
      <c r="AN40" s="398" t="s">
        <v>514</v>
      </c>
      <c r="AO40" s="398" t="s">
        <v>461</v>
      </c>
      <c r="AP40" s="398" t="s">
        <v>466</v>
      </c>
      <c r="AQ40" s="400" t="s">
        <v>471</v>
      </c>
      <c r="AR40" s="398" t="s">
        <v>441</v>
      </c>
      <c r="AS40" s="398" t="s">
        <v>461</v>
      </c>
      <c r="AV40" s="397"/>
      <c r="AW40" s="397"/>
      <c r="AX40" s="397"/>
      <c r="AY40" s="401"/>
      <c r="BB40" s="398" t="s">
        <v>441</v>
      </c>
      <c r="BC40" s="398" t="s">
        <v>314</v>
      </c>
    </row>
    <row r="41" spans="1:55" x14ac:dyDescent="0.2">
      <c r="A41" s="397">
        <v>6511</v>
      </c>
      <c r="B41" s="398" t="s">
        <v>52</v>
      </c>
      <c r="D41" s="398" t="s">
        <v>4</v>
      </c>
      <c r="F41" s="399" t="s">
        <v>420</v>
      </c>
      <c r="H41" s="399" t="s">
        <v>458</v>
      </c>
      <c r="J41" s="399" t="s">
        <v>461</v>
      </c>
      <c r="K41" s="399" t="s">
        <v>461</v>
      </c>
      <c r="L41" s="399" t="s">
        <v>461</v>
      </c>
      <c r="M41" s="399" t="s">
        <v>461</v>
      </c>
      <c r="N41" s="399" t="s">
        <v>461</v>
      </c>
      <c r="O41" s="399" t="s">
        <v>461</v>
      </c>
      <c r="P41" s="398" t="s">
        <v>461</v>
      </c>
      <c r="Q41" s="398" t="s">
        <v>461</v>
      </c>
      <c r="R41" s="398" t="s">
        <v>461</v>
      </c>
      <c r="S41" s="398" t="s">
        <v>461</v>
      </c>
      <c r="T41" s="398" t="s">
        <v>461</v>
      </c>
      <c r="U41" s="398" t="s">
        <v>461</v>
      </c>
      <c r="V41" s="398" t="s">
        <v>679</v>
      </c>
      <c r="W41" s="398" t="s">
        <v>461</v>
      </c>
      <c r="X41" s="398" t="s">
        <v>461</v>
      </c>
      <c r="Y41" s="398" t="s">
        <v>461</v>
      </c>
      <c r="Z41" s="398" t="s">
        <v>461</v>
      </c>
      <c r="AA41" s="398" t="s">
        <v>461</v>
      </c>
      <c r="AB41" s="398" t="s">
        <v>461</v>
      </c>
      <c r="AC41" s="399" t="s">
        <v>461</v>
      </c>
      <c r="AD41" s="398" t="s">
        <v>461</v>
      </c>
      <c r="AE41" s="398" t="s">
        <v>461</v>
      </c>
      <c r="AF41" s="398" t="s">
        <v>269</v>
      </c>
      <c r="AG41" s="399" t="s">
        <v>461</v>
      </c>
      <c r="AH41" s="429" t="s">
        <v>464</v>
      </c>
      <c r="AI41" s="400" t="s">
        <v>461</v>
      </c>
      <c r="AJ41" s="399" t="s">
        <v>512</v>
      </c>
      <c r="AK41" s="398" t="s">
        <v>461</v>
      </c>
      <c r="AL41" s="399" t="s">
        <v>513</v>
      </c>
      <c r="AM41" s="398" t="s">
        <v>461</v>
      </c>
      <c r="AN41" s="398" t="s">
        <v>514</v>
      </c>
      <c r="AO41" s="398" t="s">
        <v>461</v>
      </c>
      <c r="AP41" s="398" t="s">
        <v>466</v>
      </c>
      <c r="AQ41" s="400" t="s">
        <v>471</v>
      </c>
      <c r="AR41" s="398" t="s">
        <v>441</v>
      </c>
      <c r="AS41" s="398" t="s">
        <v>461</v>
      </c>
      <c r="AV41" s="398" t="s">
        <v>311</v>
      </c>
      <c r="AW41" s="397"/>
      <c r="AX41" s="434">
        <v>0.16300000000000001</v>
      </c>
      <c r="AY41" s="403" t="s">
        <v>356</v>
      </c>
      <c r="AZ41" s="398" t="s">
        <v>374</v>
      </c>
      <c r="BA41" s="398" t="s">
        <v>21</v>
      </c>
      <c r="BB41" s="398" t="s">
        <v>441</v>
      </c>
      <c r="BC41" s="398" t="s">
        <v>210</v>
      </c>
    </row>
    <row r="42" spans="1:55" x14ac:dyDescent="0.2">
      <c r="A42" s="397">
        <v>6601</v>
      </c>
      <c r="B42" s="398" t="s">
        <v>53</v>
      </c>
      <c r="C42" s="398" t="s">
        <v>312</v>
      </c>
      <c r="D42" s="398" t="s">
        <v>4</v>
      </c>
      <c r="F42" s="399" t="s">
        <v>420</v>
      </c>
      <c r="H42" s="399" t="s">
        <v>458</v>
      </c>
      <c r="J42" s="399" t="s">
        <v>461</v>
      </c>
      <c r="K42" s="399" t="s">
        <v>461</v>
      </c>
      <c r="L42" s="399" t="s">
        <v>461</v>
      </c>
      <c r="M42" s="399" t="s">
        <v>461</v>
      </c>
      <c r="N42" s="399" t="s">
        <v>461</v>
      </c>
      <c r="O42" s="399" t="s">
        <v>461</v>
      </c>
      <c r="P42" s="398" t="s">
        <v>461</v>
      </c>
      <c r="Q42" s="398" t="s">
        <v>461</v>
      </c>
      <c r="R42" s="398" t="s">
        <v>461</v>
      </c>
      <c r="S42" s="398" t="s">
        <v>461</v>
      </c>
      <c r="T42" s="398" t="s">
        <v>461</v>
      </c>
      <c r="U42" s="398" t="s">
        <v>461</v>
      </c>
      <c r="V42" s="398" t="s">
        <v>679</v>
      </c>
      <c r="W42" s="398" t="s">
        <v>461</v>
      </c>
      <c r="X42" s="398" t="s">
        <v>461</v>
      </c>
      <c r="Y42" s="398" t="s">
        <v>461</v>
      </c>
      <c r="Z42" s="398" t="s">
        <v>461</v>
      </c>
      <c r="AA42" s="398" t="s">
        <v>461</v>
      </c>
      <c r="AB42" s="398" t="s">
        <v>461</v>
      </c>
      <c r="AC42" s="399" t="s">
        <v>461</v>
      </c>
      <c r="AD42" s="398" t="s">
        <v>461</v>
      </c>
      <c r="AE42" s="398" t="s">
        <v>461</v>
      </c>
      <c r="AF42" s="398" t="s">
        <v>269</v>
      </c>
      <c r="AG42" s="399" t="s">
        <v>461</v>
      </c>
      <c r="AH42" s="429" t="s">
        <v>464</v>
      </c>
      <c r="AI42" s="400" t="s">
        <v>461</v>
      </c>
      <c r="AJ42" s="399" t="s">
        <v>512</v>
      </c>
      <c r="AK42" s="398" t="s">
        <v>461</v>
      </c>
      <c r="AL42" s="399" t="s">
        <v>513</v>
      </c>
      <c r="AM42" s="398" t="s">
        <v>461</v>
      </c>
      <c r="AN42" s="398" t="s">
        <v>514</v>
      </c>
      <c r="AO42" s="398" t="s">
        <v>461</v>
      </c>
      <c r="AP42" s="398" t="s">
        <v>466</v>
      </c>
      <c r="AQ42" s="400" t="s">
        <v>471</v>
      </c>
      <c r="AR42" s="398" t="s">
        <v>441</v>
      </c>
      <c r="AS42" s="398" t="s">
        <v>461</v>
      </c>
      <c r="AV42" s="399" t="s">
        <v>376</v>
      </c>
      <c r="AW42" s="397"/>
      <c r="AX42" s="401">
        <v>0.14000000000000001</v>
      </c>
      <c r="AY42" s="401" t="s">
        <v>357</v>
      </c>
      <c r="AZ42" s="398" t="s">
        <v>377</v>
      </c>
      <c r="BA42" s="398" t="s">
        <v>21</v>
      </c>
      <c r="BB42" s="398" t="s">
        <v>441</v>
      </c>
      <c r="BC42" s="398" t="s">
        <v>220</v>
      </c>
    </row>
    <row r="43" spans="1:55" x14ac:dyDescent="0.2">
      <c r="A43" s="397">
        <v>6901</v>
      </c>
      <c r="B43" s="398" t="s">
        <v>609</v>
      </c>
      <c r="C43" s="398" t="s">
        <v>610</v>
      </c>
      <c r="D43" s="398" t="s">
        <v>4</v>
      </c>
      <c r="E43" s="398" t="s">
        <v>450</v>
      </c>
      <c r="F43" s="399" t="s">
        <v>420</v>
      </c>
      <c r="G43" s="398" t="s">
        <v>611</v>
      </c>
      <c r="H43" s="399" t="s">
        <v>458</v>
      </c>
      <c r="I43" s="398" t="s">
        <v>611</v>
      </c>
      <c r="R43" s="433"/>
      <c r="S43" s="398" t="s">
        <v>461</v>
      </c>
      <c r="T43" s="398" t="s">
        <v>461</v>
      </c>
      <c r="U43" s="398" t="s">
        <v>461</v>
      </c>
      <c r="V43" s="398" t="s">
        <v>679</v>
      </c>
      <c r="W43" s="398" t="s">
        <v>461</v>
      </c>
      <c r="X43" s="398" t="s">
        <v>461</v>
      </c>
      <c r="Y43" s="398" t="s">
        <v>461</v>
      </c>
      <c r="Z43" s="398" t="s">
        <v>461</v>
      </c>
      <c r="AA43" s="398" t="s">
        <v>461</v>
      </c>
      <c r="AB43" s="398" t="s">
        <v>461</v>
      </c>
      <c r="AC43" s="399" t="s">
        <v>461</v>
      </c>
      <c r="AD43" s="398" t="s">
        <v>461</v>
      </c>
      <c r="AE43" s="398" t="s">
        <v>461</v>
      </c>
      <c r="AF43" s="398" t="s">
        <v>269</v>
      </c>
      <c r="AG43" s="399" t="s">
        <v>612</v>
      </c>
      <c r="AH43" s="429" t="s">
        <v>464</v>
      </c>
      <c r="AI43" s="400" t="s">
        <v>613</v>
      </c>
      <c r="AJ43" s="399" t="s">
        <v>512</v>
      </c>
      <c r="AK43" s="398" t="s">
        <v>451</v>
      </c>
      <c r="AL43" s="399" t="s">
        <v>461</v>
      </c>
      <c r="AM43" s="398" t="s">
        <v>461</v>
      </c>
      <c r="AN43" s="398" t="s">
        <v>514</v>
      </c>
      <c r="AO43" s="398" t="s">
        <v>476</v>
      </c>
      <c r="AP43" s="398" t="s">
        <v>466</v>
      </c>
      <c r="AQ43" s="400" t="s">
        <v>471</v>
      </c>
      <c r="AR43" s="398" t="s">
        <v>441</v>
      </c>
      <c r="AS43" s="398" t="s">
        <v>614</v>
      </c>
      <c r="AV43" s="397" t="s">
        <v>373</v>
      </c>
      <c r="AW43" s="397"/>
      <c r="AX43" s="401">
        <v>0.1535</v>
      </c>
      <c r="AY43" s="403" t="s">
        <v>357</v>
      </c>
      <c r="BB43" s="398" t="s">
        <v>441</v>
      </c>
      <c r="BC43" s="398" t="s">
        <v>304</v>
      </c>
    </row>
    <row r="44" spans="1:55" x14ac:dyDescent="0.2">
      <c r="A44" s="397">
        <v>6921</v>
      </c>
      <c r="B44" s="398" t="s">
        <v>301</v>
      </c>
      <c r="C44" s="398" t="s">
        <v>701</v>
      </c>
      <c r="D44" s="398" t="s">
        <v>4</v>
      </c>
      <c r="E44" s="398" t="s">
        <v>702</v>
      </c>
      <c r="F44" s="399" t="s">
        <v>420</v>
      </c>
      <c r="G44" s="398" t="s">
        <v>611</v>
      </c>
      <c r="H44" s="399" t="s">
        <v>458</v>
      </c>
      <c r="I44" s="398" t="s">
        <v>707</v>
      </c>
      <c r="J44" s="399" t="s">
        <v>703</v>
      </c>
      <c r="K44" s="399" t="s">
        <v>704</v>
      </c>
      <c r="L44" s="399" t="s">
        <v>703</v>
      </c>
      <c r="M44" s="399" t="s">
        <v>705</v>
      </c>
      <c r="N44" s="399" t="s">
        <v>703</v>
      </c>
      <c r="O44" s="399" t="s">
        <v>706</v>
      </c>
      <c r="P44" s="398" t="s">
        <v>461</v>
      </c>
      <c r="Q44" s="398" t="s">
        <v>461</v>
      </c>
      <c r="R44" s="398" t="s">
        <v>461</v>
      </c>
      <c r="S44" s="398" t="s">
        <v>461</v>
      </c>
      <c r="T44" s="398" t="s">
        <v>461</v>
      </c>
      <c r="U44" s="398" t="s">
        <v>461</v>
      </c>
      <c r="V44" s="398" t="s">
        <v>679</v>
      </c>
      <c r="W44" s="398" t="s">
        <v>461</v>
      </c>
      <c r="X44" s="398" t="s">
        <v>461</v>
      </c>
      <c r="Y44" s="398" t="s">
        <v>461</v>
      </c>
      <c r="Z44" s="398" t="s">
        <v>461</v>
      </c>
      <c r="AA44" s="398" t="s">
        <v>461</v>
      </c>
      <c r="AB44" s="398" t="s">
        <v>461</v>
      </c>
      <c r="AC44" s="399" t="s">
        <v>461</v>
      </c>
      <c r="AD44" s="398" t="s">
        <v>461</v>
      </c>
      <c r="AE44" s="398" t="s">
        <v>461</v>
      </c>
      <c r="AF44" s="398" t="s">
        <v>269</v>
      </c>
      <c r="AG44" s="399" t="s">
        <v>461</v>
      </c>
      <c r="AH44" s="429" t="s">
        <v>464</v>
      </c>
      <c r="AI44" s="400" t="s">
        <v>461</v>
      </c>
      <c r="AJ44" s="399" t="s">
        <v>512</v>
      </c>
      <c r="AK44" s="398" t="s">
        <v>461</v>
      </c>
      <c r="AL44" s="399" t="s">
        <v>513</v>
      </c>
      <c r="AM44" s="398" t="s">
        <v>461</v>
      </c>
      <c r="AN44" s="398" t="s">
        <v>514</v>
      </c>
      <c r="AO44" s="398" t="s">
        <v>461</v>
      </c>
      <c r="AP44" s="398" t="s">
        <v>466</v>
      </c>
      <c r="AQ44" s="400" t="s">
        <v>471</v>
      </c>
      <c r="AR44" s="398" t="s">
        <v>441</v>
      </c>
      <c r="AS44" s="398" t="s">
        <v>461</v>
      </c>
      <c r="AV44" s="398" t="s">
        <v>313</v>
      </c>
      <c r="AX44" s="401">
        <v>0.14369999999999999</v>
      </c>
      <c r="AY44" s="401"/>
      <c r="AZ44" s="398" t="s">
        <v>333</v>
      </c>
      <c r="BB44" s="398" t="s">
        <v>441</v>
      </c>
    </row>
    <row r="45" spans="1:55" x14ac:dyDescent="0.2">
      <c r="A45" s="397">
        <v>6931</v>
      </c>
      <c r="B45" s="398" t="s">
        <v>792</v>
      </c>
      <c r="D45" s="398" t="s">
        <v>4</v>
      </c>
      <c r="F45" s="399"/>
      <c r="H45" s="399"/>
      <c r="J45" s="399"/>
      <c r="K45" s="399"/>
      <c r="L45" s="399"/>
      <c r="M45" s="399"/>
      <c r="N45" s="399"/>
      <c r="O45" s="399"/>
      <c r="W45" s="398"/>
      <c r="AH45" s="429"/>
      <c r="AI45" s="400"/>
      <c r="AJ45" s="399"/>
      <c r="AK45" s="398"/>
      <c r="AL45" s="399"/>
      <c r="AQ45" s="400"/>
      <c r="AX45" s="401"/>
      <c r="AY45" s="401"/>
    </row>
    <row r="46" spans="1:55" x14ac:dyDescent="0.2">
      <c r="A46" s="397">
        <v>7001</v>
      </c>
      <c r="B46" s="398" t="s">
        <v>771</v>
      </c>
      <c r="C46" s="398" t="s">
        <v>780</v>
      </c>
      <c r="D46" s="398" t="s">
        <v>329</v>
      </c>
      <c r="E46" s="398" t="s">
        <v>486</v>
      </c>
      <c r="F46" s="398" t="s">
        <v>461</v>
      </c>
      <c r="G46" s="399" t="s">
        <v>487</v>
      </c>
      <c r="H46" s="399" t="s">
        <v>488</v>
      </c>
      <c r="I46" s="398" t="s">
        <v>743</v>
      </c>
      <c r="J46" s="398" t="s">
        <v>489</v>
      </c>
      <c r="K46" s="398" t="s">
        <v>490</v>
      </c>
      <c r="L46" s="398" t="s">
        <v>491</v>
      </c>
      <c r="M46" s="398" t="s">
        <v>492</v>
      </c>
      <c r="N46" s="398" t="s">
        <v>493</v>
      </c>
      <c r="O46" s="398" t="s">
        <v>495</v>
      </c>
      <c r="P46" s="398" t="s">
        <v>494</v>
      </c>
      <c r="Q46" s="398" t="s">
        <v>496</v>
      </c>
      <c r="R46" s="398" t="s">
        <v>497</v>
      </c>
      <c r="S46" s="398" t="s">
        <v>498</v>
      </c>
      <c r="U46" s="398" t="s">
        <v>499</v>
      </c>
      <c r="V46" s="398" t="s">
        <v>679</v>
      </c>
      <c r="W46" s="398" t="s">
        <v>681</v>
      </c>
      <c r="X46" s="398" t="s">
        <v>461</v>
      </c>
      <c r="Y46" s="398" t="s">
        <v>461</v>
      </c>
      <c r="AA46" s="398" t="s">
        <v>461</v>
      </c>
      <c r="AB46" s="398" t="s">
        <v>461</v>
      </c>
      <c r="AC46" s="399" t="s">
        <v>461</v>
      </c>
      <c r="AD46" s="398" t="s">
        <v>461</v>
      </c>
      <c r="AE46" s="398" t="s">
        <v>461</v>
      </c>
      <c r="AF46" s="398" t="s">
        <v>269</v>
      </c>
      <c r="AG46" s="399" t="s">
        <v>461</v>
      </c>
      <c r="AH46" s="429" t="s">
        <v>464</v>
      </c>
      <c r="AI46" s="400" t="s">
        <v>461</v>
      </c>
      <c r="AJ46" s="399" t="s">
        <v>512</v>
      </c>
      <c r="AK46" s="398" t="s">
        <v>461</v>
      </c>
      <c r="AL46" s="399" t="s">
        <v>513</v>
      </c>
      <c r="AM46" s="398" t="s">
        <v>461</v>
      </c>
      <c r="AN46" s="398" t="s">
        <v>514</v>
      </c>
      <c r="AO46" s="398" t="s">
        <v>461</v>
      </c>
      <c r="AP46" s="398" t="s">
        <v>466</v>
      </c>
      <c r="AQ46" s="400" t="s">
        <v>461</v>
      </c>
      <c r="AR46" s="398" t="s">
        <v>441</v>
      </c>
      <c r="AS46" s="398" t="s">
        <v>461</v>
      </c>
      <c r="AT46" s="398" t="s">
        <v>461</v>
      </c>
      <c r="AU46" s="398" t="s">
        <v>461</v>
      </c>
      <c r="AV46" s="398" t="s">
        <v>461</v>
      </c>
      <c r="AW46" s="398" t="s">
        <v>461</v>
      </c>
      <c r="AX46" s="397" t="s">
        <v>461</v>
      </c>
      <c r="AY46" s="403" t="s">
        <v>461</v>
      </c>
      <c r="AZ46" s="398" t="s">
        <v>461</v>
      </c>
      <c r="BA46" s="398" t="s">
        <v>461</v>
      </c>
      <c r="BB46" s="398" t="s">
        <v>461</v>
      </c>
      <c r="BC46" s="398" t="s">
        <v>461</v>
      </c>
    </row>
    <row r="47" spans="1:55" x14ac:dyDescent="0.2">
      <c r="A47" s="566">
        <v>7021</v>
      </c>
      <c r="B47" s="398" t="s">
        <v>772</v>
      </c>
      <c r="C47" s="398" t="s">
        <v>779</v>
      </c>
      <c r="D47" s="398" t="s">
        <v>4</v>
      </c>
      <c r="G47" s="399"/>
      <c r="H47" s="399"/>
      <c r="W47" s="398"/>
      <c r="AH47" s="429"/>
      <c r="AI47" s="400"/>
      <c r="AJ47" s="399"/>
      <c r="AK47" s="398"/>
      <c r="AL47" s="399"/>
      <c r="AQ47" s="400"/>
      <c r="AX47" s="397"/>
      <c r="AY47" s="403"/>
    </row>
    <row r="48" spans="1:55" x14ac:dyDescent="0.2">
      <c r="A48" s="397">
        <v>7101</v>
      </c>
      <c r="B48" s="398" t="s">
        <v>774</v>
      </c>
      <c r="D48" s="398" t="s">
        <v>4</v>
      </c>
      <c r="F48" s="399" t="s">
        <v>420</v>
      </c>
      <c r="H48" s="399" t="s">
        <v>458</v>
      </c>
      <c r="J48" s="399" t="s">
        <v>461</v>
      </c>
      <c r="K48" s="399" t="s">
        <v>461</v>
      </c>
      <c r="L48" s="399" t="s">
        <v>461</v>
      </c>
      <c r="M48" s="399" t="s">
        <v>461</v>
      </c>
      <c r="N48" s="399" t="s">
        <v>461</v>
      </c>
      <c r="O48" s="399" t="s">
        <v>461</v>
      </c>
      <c r="P48" s="398" t="s">
        <v>461</v>
      </c>
      <c r="Q48" s="398" t="s">
        <v>461</v>
      </c>
      <c r="R48" s="398" t="s">
        <v>461</v>
      </c>
      <c r="S48" s="398" t="s">
        <v>461</v>
      </c>
      <c r="T48" s="398" t="s">
        <v>461</v>
      </c>
      <c r="U48" s="398" t="s">
        <v>461</v>
      </c>
      <c r="V48" s="398" t="s">
        <v>679</v>
      </c>
      <c r="W48" s="398" t="s">
        <v>461</v>
      </c>
      <c r="X48" s="398" t="s">
        <v>461</v>
      </c>
      <c r="Y48" s="398" t="s">
        <v>461</v>
      </c>
      <c r="Z48" s="398" t="s">
        <v>461</v>
      </c>
      <c r="AA48" s="398" t="s">
        <v>461</v>
      </c>
      <c r="AB48" s="398" t="s">
        <v>461</v>
      </c>
      <c r="AC48" s="399" t="s">
        <v>461</v>
      </c>
      <c r="AD48" s="398" t="s">
        <v>461</v>
      </c>
      <c r="AE48" s="398" t="s">
        <v>461</v>
      </c>
      <c r="AF48" s="398" t="s">
        <v>269</v>
      </c>
      <c r="AG48" s="399" t="s">
        <v>461</v>
      </c>
      <c r="AH48" s="429" t="s">
        <v>464</v>
      </c>
      <c r="AI48" s="400" t="s">
        <v>461</v>
      </c>
      <c r="AJ48" s="399" t="s">
        <v>512</v>
      </c>
      <c r="AK48" s="398" t="s">
        <v>461</v>
      </c>
      <c r="AL48" s="399" t="s">
        <v>513</v>
      </c>
      <c r="AM48" s="398" t="s">
        <v>461</v>
      </c>
      <c r="AN48" s="398" t="s">
        <v>514</v>
      </c>
      <c r="AO48" s="398" t="s">
        <v>461</v>
      </c>
      <c r="AP48" s="398" t="s">
        <v>466</v>
      </c>
      <c r="AQ48" s="400" t="s">
        <v>471</v>
      </c>
      <c r="AR48" s="398" t="s">
        <v>441</v>
      </c>
      <c r="AS48" s="398" t="s">
        <v>461</v>
      </c>
      <c r="AV48" s="397" t="s">
        <v>330</v>
      </c>
      <c r="AW48" s="397"/>
      <c r="AX48" s="401">
        <v>0.1328</v>
      </c>
      <c r="AY48" s="403"/>
      <c r="AZ48" s="398" t="s">
        <v>331</v>
      </c>
      <c r="BA48" s="398" t="s">
        <v>21</v>
      </c>
      <c r="BB48" s="398" t="s">
        <v>441</v>
      </c>
      <c r="BC48" s="398" t="s">
        <v>259</v>
      </c>
    </row>
    <row r="49" spans="1:55" x14ac:dyDescent="0.2">
      <c r="A49" s="566">
        <v>7121</v>
      </c>
      <c r="B49" s="398" t="s">
        <v>773</v>
      </c>
      <c r="D49" s="398" t="s">
        <v>4</v>
      </c>
      <c r="F49" s="399"/>
      <c r="H49" s="399"/>
      <c r="J49" s="399"/>
      <c r="K49" s="399"/>
      <c r="L49" s="399"/>
      <c r="M49" s="399"/>
      <c r="N49" s="399"/>
      <c r="O49" s="399"/>
      <c r="W49" s="398"/>
      <c r="AH49" s="429"/>
      <c r="AI49" s="400"/>
      <c r="AJ49" s="399"/>
      <c r="AK49" s="398"/>
      <c r="AL49" s="399"/>
      <c r="AQ49" s="400"/>
      <c r="AV49" s="397"/>
      <c r="AW49" s="397"/>
      <c r="AX49" s="401"/>
      <c r="AY49" s="403"/>
    </row>
    <row r="50" spans="1:55" x14ac:dyDescent="0.2">
      <c r="A50" s="397">
        <v>7201</v>
      </c>
      <c r="B50" s="398" t="s">
        <v>228</v>
      </c>
      <c r="D50" s="398" t="s">
        <v>4</v>
      </c>
      <c r="F50" s="399" t="s">
        <v>420</v>
      </c>
      <c r="H50" s="399" t="s">
        <v>458</v>
      </c>
      <c r="J50" s="399" t="s">
        <v>461</v>
      </c>
      <c r="K50" s="399" t="s">
        <v>461</v>
      </c>
      <c r="L50" s="399" t="s">
        <v>461</v>
      </c>
      <c r="M50" s="399" t="s">
        <v>461</v>
      </c>
      <c r="N50" s="399" t="s">
        <v>461</v>
      </c>
      <c r="O50" s="399" t="s">
        <v>461</v>
      </c>
      <c r="P50" s="398" t="s">
        <v>461</v>
      </c>
      <c r="Q50" s="398" t="s">
        <v>461</v>
      </c>
      <c r="R50" s="398" t="s">
        <v>461</v>
      </c>
      <c r="S50" s="398" t="s">
        <v>461</v>
      </c>
      <c r="T50" s="398" t="s">
        <v>461</v>
      </c>
      <c r="U50" s="398" t="s">
        <v>461</v>
      </c>
      <c r="V50" s="398" t="s">
        <v>679</v>
      </c>
      <c r="W50" s="398" t="s">
        <v>461</v>
      </c>
      <c r="X50" s="398" t="s">
        <v>461</v>
      </c>
      <c r="Y50" s="398" t="s">
        <v>461</v>
      </c>
      <c r="Z50" s="398" t="s">
        <v>461</v>
      </c>
      <c r="AA50" s="398" t="s">
        <v>461</v>
      </c>
      <c r="AB50" s="398" t="s">
        <v>461</v>
      </c>
      <c r="AC50" s="399" t="s">
        <v>461</v>
      </c>
      <c r="AD50" s="398" t="s">
        <v>461</v>
      </c>
      <c r="AE50" s="398" t="s">
        <v>461</v>
      </c>
      <c r="AF50" s="398" t="s">
        <v>269</v>
      </c>
      <c r="AG50" s="399" t="s">
        <v>461</v>
      </c>
      <c r="AH50" s="429" t="s">
        <v>464</v>
      </c>
      <c r="AI50" s="400" t="s">
        <v>461</v>
      </c>
      <c r="AJ50" s="399" t="s">
        <v>512</v>
      </c>
      <c r="AK50" s="398" t="s">
        <v>461</v>
      </c>
      <c r="AL50" s="399" t="s">
        <v>513</v>
      </c>
      <c r="AM50" s="398" t="s">
        <v>461</v>
      </c>
      <c r="AN50" s="398" t="s">
        <v>514</v>
      </c>
      <c r="AO50" s="398" t="s">
        <v>461</v>
      </c>
      <c r="AP50" s="398" t="s">
        <v>466</v>
      </c>
      <c r="AQ50" s="400" t="s">
        <v>471</v>
      </c>
      <c r="AR50" s="398" t="s">
        <v>441</v>
      </c>
      <c r="AS50" s="398" t="s">
        <v>461</v>
      </c>
      <c r="AT50" s="402"/>
      <c r="AV50" s="397" t="s">
        <v>332</v>
      </c>
      <c r="AW50" s="397"/>
      <c r="AX50" s="403">
        <v>0.14000000000000001</v>
      </c>
      <c r="AY50" s="403"/>
      <c r="AZ50" s="398" t="s">
        <v>333</v>
      </c>
      <c r="BB50" s="398" t="s">
        <v>441</v>
      </c>
      <c r="BC50" s="398" t="s">
        <v>229</v>
      </c>
    </row>
    <row r="51" spans="1:55" x14ac:dyDescent="0.2">
      <c r="A51" s="397">
        <v>7301</v>
      </c>
      <c r="B51" s="398" t="s">
        <v>54</v>
      </c>
      <c r="C51" s="398" t="s">
        <v>315</v>
      </c>
      <c r="D51" s="398" t="s">
        <v>4</v>
      </c>
      <c r="F51" s="399" t="s">
        <v>420</v>
      </c>
      <c r="H51" s="399" t="s">
        <v>458</v>
      </c>
      <c r="J51" s="399" t="s">
        <v>461</v>
      </c>
      <c r="K51" s="399" t="s">
        <v>461</v>
      </c>
      <c r="L51" s="399" t="s">
        <v>461</v>
      </c>
      <c r="M51" s="399" t="s">
        <v>461</v>
      </c>
      <c r="N51" s="399" t="s">
        <v>461</v>
      </c>
      <c r="O51" s="399" t="s">
        <v>461</v>
      </c>
      <c r="P51" s="398" t="s">
        <v>461</v>
      </c>
      <c r="Q51" s="398" t="s">
        <v>461</v>
      </c>
      <c r="R51" s="398" t="s">
        <v>461</v>
      </c>
      <c r="S51" s="398" t="s">
        <v>461</v>
      </c>
      <c r="T51" s="398" t="s">
        <v>461</v>
      </c>
      <c r="U51" s="398" t="s">
        <v>461</v>
      </c>
      <c r="V51" s="398" t="s">
        <v>679</v>
      </c>
      <c r="W51" s="398" t="s">
        <v>461</v>
      </c>
      <c r="X51" s="398" t="s">
        <v>461</v>
      </c>
      <c r="Y51" s="398" t="s">
        <v>461</v>
      </c>
      <c r="Z51" s="398" t="s">
        <v>461</v>
      </c>
      <c r="AA51" s="398" t="s">
        <v>461</v>
      </c>
      <c r="AB51" s="398" t="s">
        <v>461</v>
      </c>
      <c r="AC51" s="399" t="s">
        <v>461</v>
      </c>
      <c r="AD51" s="398" t="s">
        <v>461</v>
      </c>
      <c r="AE51" s="398" t="s">
        <v>461</v>
      </c>
      <c r="AF51" s="398" t="s">
        <v>269</v>
      </c>
      <c r="AG51" s="399" t="s">
        <v>461</v>
      </c>
      <c r="AH51" s="429" t="s">
        <v>464</v>
      </c>
      <c r="AI51" s="400" t="s">
        <v>461</v>
      </c>
      <c r="AJ51" s="399" t="s">
        <v>512</v>
      </c>
      <c r="AK51" s="398" t="s">
        <v>461</v>
      </c>
      <c r="AL51" s="399" t="s">
        <v>513</v>
      </c>
      <c r="AM51" s="398" t="s">
        <v>461</v>
      </c>
      <c r="AN51" s="398" t="s">
        <v>514</v>
      </c>
      <c r="AO51" s="398" t="s">
        <v>461</v>
      </c>
      <c r="AP51" s="398" t="s">
        <v>466</v>
      </c>
      <c r="AQ51" s="400" t="s">
        <v>471</v>
      </c>
      <c r="AR51" s="398" t="s">
        <v>441</v>
      </c>
      <c r="AS51" s="398" t="s">
        <v>461</v>
      </c>
      <c r="AV51" s="397">
        <v>18</v>
      </c>
      <c r="AW51" s="397"/>
      <c r="AX51" s="401">
        <v>0.126</v>
      </c>
      <c r="AY51" s="401"/>
      <c r="AZ51" s="398" t="s">
        <v>328</v>
      </c>
      <c r="BA51" s="398" t="s">
        <v>21</v>
      </c>
      <c r="BB51" s="398" t="s">
        <v>441</v>
      </c>
      <c r="BC51" s="398" t="s">
        <v>204</v>
      </c>
    </row>
    <row r="52" spans="1:55" x14ac:dyDescent="0.2">
      <c r="A52" s="397">
        <v>7801</v>
      </c>
      <c r="B52" s="398" t="s">
        <v>302</v>
      </c>
      <c r="D52" s="398" t="s">
        <v>4</v>
      </c>
      <c r="F52" s="399" t="s">
        <v>420</v>
      </c>
      <c r="H52" s="399" t="s">
        <v>458</v>
      </c>
      <c r="J52" s="399" t="s">
        <v>461</v>
      </c>
      <c r="K52" s="399" t="s">
        <v>461</v>
      </c>
      <c r="L52" s="399" t="s">
        <v>461</v>
      </c>
      <c r="M52" s="399" t="s">
        <v>461</v>
      </c>
      <c r="N52" s="399" t="s">
        <v>461</v>
      </c>
      <c r="O52" s="399" t="s">
        <v>461</v>
      </c>
      <c r="P52" s="398" t="s">
        <v>461</v>
      </c>
      <c r="Q52" s="398" t="s">
        <v>461</v>
      </c>
      <c r="R52" s="398" t="s">
        <v>461</v>
      </c>
      <c r="S52" s="398" t="s">
        <v>461</v>
      </c>
      <c r="T52" s="398" t="s">
        <v>461</v>
      </c>
      <c r="U52" s="398" t="s">
        <v>461</v>
      </c>
      <c r="V52" s="398" t="s">
        <v>461</v>
      </c>
      <c r="W52" s="398" t="s">
        <v>461</v>
      </c>
      <c r="X52" s="398" t="s">
        <v>461</v>
      </c>
      <c r="Y52" s="398" t="s">
        <v>461</v>
      </c>
      <c r="Z52" s="398" t="s">
        <v>461</v>
      </c>
      <c r="AA52" s="398" t="s">
        <v>461</v>
      </c>
      <c r="AB52" s="398" t="s">
        <v>461</v>
      </c>
      <c r="AC52" s="399" t="s">
        <v>461</v>
      </c>
      <c r="AD52" s="398" t="s">
        <v>461</v>
      </c>
      <c r="AE52" s="398" t="s">
        <v>461</v>
      </c>
      <c r="AQ52" s="399"/>
      <c r="AV52" s="397"/>
      <c r="AW52" s="397"/>
      <c r="AX52" s="397"/>
      <c r="AY52" s="397"/>
      <c r="BB52" s="398" t="s">
        <v>441</v>
      </c>
      <c r="BC52" s="398" t="s">
        <v>316</v>
      </c>
    </row>
    <row r="53" spans="1:55" x14ac:dyDescent="0.2">
      <c r="F53" s="399"/>
      <c r="H53" s="399"/>
      <c r="J53" s="399"/>
      <c r="K53" s="399"/>
      <c r="L53" s="399"/>
      <c r="M53" s="399"/>
      <c r="N53" s="399"/>
      <c r="O53" s="399"/>
      <c r="W53" s="398"/>
      <c r="AQ53" s="399"/>
      <c r="AV53" s="397"/>
      <c r="AW53" s="397"/>
      <c r="AX53" s="397"/>
      <c r="AY53" s="397"/>
    </row>
    <row r="58" spans="1:55" x14ac:dyDescent="0.2">
      <c r="F58" s="399"/>
      <c r="H58" s="399"/>
      <c r="J58" s="399"/>
      <c r="K58" s="399"/>
      <c r="L58" s="399"/>
      <c r="M58" s="399"/>
      <c r="N58" s="399"/>
      <c r="O58" s="399"/>
      <c r="W58" s="398"/>
      <c r="AH58" s="429"/>
      <c r="AI58" s="400"/>
      <c r="AJ58" s="399"/>
      <c r="AK58" s="398"/>
      <c r="AL58" s="399"/>
      <c r="AQ58" s="400"/>
      <c r="AV58" s="397"/>
      <c r="AW58" s="397"/>
      <c r="AX58" s="397"/>
      <c r="AY58" s="397"/>
    </row>
    <row r="59" spans="1:55" x14ac:dyDescent="0.2">
      <c r="F59" s="399"/>
      <c r="H59" s="399"/>
      <c r="J59" s="399"/>
      <c r="K59" s="399"/>
      <c r="L59" s="399"/>
      <c r="M59" s="399"/>
      <c r="N59" s="399"/>
      <c r="O59" s="399"/>
      <c r="W59" s="398"/>
      <c r="AH59" s="429"/>
      <c r="AI59" s="400"/>
      <c r="AJ59" s="399"/>
      <c r="AK59" s="398"/>
      <c r="AL59" s="399"/>
      <c r="AQ59" s="400"/>
      <c r="AV59" s="397"/>
      <c r="AW59" s="397"/>
      <c r="AX59" s="397"/>
      <c r="AY59" s="397"/>
    </row>
    <row r="60" spans="1:55" x14ac:dyDescent="0.2">
      <c r="F60" s="399"/>
      <c r="H60" s="399"/>
      <c r="J60" s="399"/>
      <c r="K60" s="399"/>
      <c r="L60" s="399"/>
      <c r="M60" s="399"/>
      <c r="N60" s="399"/>
      <c r="O60" s="399"/>
      <c r="W60" s="398"/>
      <c r="AH60" s="429"/>
      <c r="AI60" s="400"/>
      <c r="AJ60" s="399"/>
      <c r="AK60" s="398"/>
      <c r="AL60" s="399"/>
      <c r="AQ60" s="400"/>
      <c r="AV60" s="397"/>
      <c r="AW60" s="397"/>
      <c r="AX60" s="397"/>
      <c r="AY60" s="397"/>
    </row>
  </sheetData>
  <customSheetViews>
    <customSheetView guid="{40555330-83BF-42FA-97D0-8A355A41C0A0}" scale="130" topLeftCell="A19">
      <pane xSplit="1.8321428571428573" topLeftCell="O1" activePane="topRight" state="frozen"/>
      <selection pane="topRight" activeCell="O31" sqref="O31"/>
      <pageMargins left="0.75" right="0.75" top="1" bottom="1" header="0.5" footer="0.5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5" right="0.75" top="1" bottom="1" header="0.5" footer="0.5"/>
  <pageSetup paperSize="9" orientation="portrait" r:id="rId2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M66"/>
  <sheetViews>
    <sheetView zoomScaleSheetLayoutView="85" workbookViewId="0">
      <selection activeCell="C12" sqref="C12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0.1640625" style="9" customWidth="1"/>
    <col min="4" max="4" width="6.5" style="9" customWidth="1"/>
    <col min="5" max="7" width="13.83203125" style="9" customWidth="1"/>
    <col min="8" max="8" width="9.33203125" style="9"/>
    <col min="9" max="9" width="5.83203125" style="9" customWidth="1"/>
    <col min="10" max="10" width="5.1640625" style="9" customWidth="1"/>
    <col min="11" max="11" width="15" style="9" hidden="1" customWidth="1"/>
    <col min="12" max="13" width="9.33203125" style="9" hidden="1" customWidth="1"/>
    <col min="14" max="16384" width="9.33203125" style="9"/>
  </cols>
  <sheetData>
    <row r="1" spans="1:7" ht="12.75" customHeight="1" x14ac:dyDescent="0.2">
      <c r="A1" s="10" t="s">
        <v>10</v>
      </c>
      <c r="F1" s="189" t="s">
        <v>0</v>
      </c>
      <c r="G1" s="266"/>
    </row>
    <row r="2" spans="1:7" ht="12.75" customHeight="1" x14ac:dyDescent="0.2">
      <c r="A2" s="10" t="s">
        <v>383</v>
      </c>
    </row>
    <row r="3" spans="1:7" ht="12.75" customHeight="1" x14ac:dyDescent="0.2">
      <c r="A3" s="601" t="s">
        <v>262</v>
      </c>
      <c r="B3" s="601"/>
      <c r="C3" s="601"/>
      <c r="D3" s="601"/>
      <c r="E3" s="601"/>
      <c r="F3" s="601"/>
      <c r="G3" s="601"/>
    </row>
    <row r="4" spans="1:7" ht="12.75" customHeight="1" x14ac:dyDescent="0.2">
      <c r="A4" s="10"/>
      <c r="D4" s="10"/>
      <c r="E4" s="10"/>
    </row>
    <row r="5" spans="1:7" ht="12.75" customHeight="1" x14ac:dyDescent="0.2">
      <c r="A5" s="92">
        <v>1</v>
      </c>
      <c r="B5" s="93" t="s">
        <v>65</v>
      </c>
      <c r="C5" s="607"/>
      <c r="D5" s="607"/>
      <c r="E5" s="607"/>
      <c r="F5" s="607"/>
      <c r="G5" s="594"/>
    </row>
    <row r="6" spans="1:7" ht="12.75" customHeight="1" x14ac:dyDescent="0.2">
      <c r="A6" s="92"/>
      <c r="B6" s="93" t="s">
        <v>151</v>
      </c>
      <c r="C6" s="607"/>
      <c r="D6" s="607"/>
      <c r="E6" s="607"/>
      <c r="F6" s="607"/>
      <c r="G6" s="594"/>
    </row>
    <row r="7" spans="1:7" ht="12.75" customHeight="1" x14ac:dyDescent="0.2">
      <c r="A7" s="92"/>
      <c r="B7" s="93" t="s">
        <v>152</v>
      </c>
      <c r="C7" s="90"/>
      <c r="D7" s="593"/>
      <c r="E7" s="605"/>
      <c r="F7" s="605"/>
      <c r="G7" s="606"/>
    </row>
    <row r="8" spans="1:7" ht="12.75" customHeight="1" x14ac:dyDescent="0.2">
      <c r="A8" s="92">
        <v>2</v>
      </c>
      <c r="B8" s="93" t="s">
        <v>87</v>
      </c>
      <c r="C8" s="584"/>
      <c r="D8" s="584"/>
      <c r="E8" s="584"/>
      <c r="F8" s="584"/>
      <c r="G8" s="585"/>
    </row>
    <row r="9" spans="1:7" ht="12.75" customHeight="1" x14ac:dyDescent="0.2">
      <c r="A9" s="92">
        <v>3</v>
      </c>
      <c r="B9" s="93" t="s">
        <v>88</v>
      </c>
      <c r="C9" s="576"/>
      <c r="D9" s="576"/>
      <c r="E9" s="576"/>
      <c r="F9" s="576"/>
      <c r="G9" s="577"/>
    </row>
    <row r="10" spans="1:7" ht="12.75" customHeight="1" x14ac:dyDescent="0.2">
      <c r="A10" s="92">
        <v>4</v>
      </c>
      <c r="B10" s="93" t="s">
        <v>55</v>
      </c>
      <c r="C10" s="203">
        <v>1</v>
      </c>
      <c r="D10" s="97"/>
      <c r="E10" s="97"/>
      <c r="F10" s="97"/>
      <c r="G10" s="117"/>
    </row>
    <row r="11" spans="1:7" ht="12.75" customHeight="1" x14ac:dyDescent="0.2">
      <c r="A11" s="92" t="s">
        <v>159</v>
      </c>
      <c r="B11" s="93" t="s">
        <v>89</v>
      </c>
      <c r="C11" s="90">
        <v>37</v>
      </c>
      <c r="D11" s="97"/>
      <c r="E11" s="97"/>
      <c r="F11" s="97"/>
      <c r="G11" s="117"/>
    </row>
    <row r="12" spans="1:7" ht="12.75" customHeight="1" x14ac:dyDescent="0.2">
      <c r="A12" s="92" t="s">
        <v>160</v>
      </c>
      <c r="B12" s="93" t="s">
        <v>90</v>
      </c>
      <c r="C12" s="90">
        <v>37</v>
      </c>
      <c r="D12" s="97"/>
      <c r="E12" s="97"/>
      <c r="F12" s="97"/>
      <c r="G12" s="117"/>
    </row>
    <row r="13" spans="1:7" ht="12.75" customHeight="1" x14ac:dyDescent="0.2">
      <c r="A13" s="92">
        <v>5</v>
      </c>
      <c r="B13" s="93" t="s">
        <v>232</v>
      </c>
      <c r="C13" s="576"/>
      <c r="D13" s="576"/>
      <c r="E13" s="576"/>
      <c r="F13" s="576"/>
      <c r="G13" s="577"/>
    </row>
    <row r="14" spans="1:7" ht="12.75" customHeight="1" x14ac:dyDescent="0.2">
      <c r="A14" s="92">
        <v>6</v>
      </c>
      <c r="B14" s="93" t="s">
        <v>150</v>
      </c>
      <c r="C14" s="590"/>
      <c r="D14" s="577"/>
      <c r="E14" s="97"/>
      <c r="F14" s="97"/>
      <c r="G14" s="98"/>
    </row>
    <row r="15" spans="1:7" ht="12.75" customHeight="1" x14ac:dyDescent="0.2">
      <c r="A15" s="92">
        <v>7</v>
      </c>
      <c r="B15" s="93" t="s">
        <v>12</v>
      </c>
      <c r="C15" s="219"/>
      <c r="D15" s="591" t="e">
        <f>VLOOKUP(C15,tabeloverenskomstnr,3,1)</f>
        <v>#N/A</v>
      </c>
      <c r="E15" s="591"/>
      <c r="F15" s="591"/>
      <c r="G15" s="592"/>
    </row>
    <row r="16" spans="1:7" ht="12.75" customHeight="1" x14ac:dyDescent="0.2">
      <c r="A16" s="92">
        <v>8</v>
      </c>
      <c r="B16" s="93" t="s">
        <v>94</v>
      </c>
      <c r="C16" s="593"/>
      <c r="D16" s="594"/>
      <c r="E16" s="97"/>
      <c r="F16" s="97"/>
      <c r="G16" s="98"/>
    </row>
    <row r="17" spans="1:12" ht="12.75" customHeight="1" x14ac:dyDescent="0.2">
      <c r="A17" s="202">
        <v>9</v>
      </c>
      <c r="B17" s="93" t="s">
        <v>92</v>
      </c>
      <c r="C17" s="593"/>
      <c r="D17" s="594"/>
      <c r="E17" s="97"/>
      <c r="F17" s="97"/>
      <c r="G17" s="98"/>
    </row>
    <row r="18" spans="1:12" ht="12.75" customHeight="1" x14ac:dyDescent="0.2">
      <c r="A18" s="202">
        <v>10</v>
      </c>
      <c r="B18" s="122" t="str">
        <f>IF(OR(C18&lt;0,C18&gt;5),"Fejl! Lønkode skal være 0 - 5","Lønkode")</f>
        <v>Lønkode</v>
      </c>
      <c r="C18" s="90"/>
      <c r="D18" s="268" t="s">
        <v>322</v>
      </c>
      <c r="E18" s="101"/>
      <c r="F18" s="101"/>
      <c r="G18" s="120"/>
      <c r="K18" s="9" t="s">
        <v>272</v>
      </c>
      <c r="L18" s="9">
        <f>VLOOKUP(LønkodeRåd2Time,TabelPctReg,2)</f>
        <v>65.337800000000001</v>
      </c>
    </row>
    <row r="19" spans="1:12" ht="12.75" customHeight="1" x14ac:dyDescent="0.2">
      <c r="A19" s="92"/>
      <c r="B19" s="122"/>
      <c r="C19" s="122"/>
      <c r="D19" s="269" t="s">
        <v>323</v>
      </c>
      <c r="E19" s="249"/>
      <c r="F19" s="249"/>
      <c r="G19" s="118"/>
    </row>
    <row r="20" spans="1:12" ht="12.75" customHeight="1" x14ac:dyDescent="0.2">
      <c r="A20" s="92">
        <v>11</v>
      </c>
      <c r="B20" s="122" t="s">
        <v>269</v>
      </c>
      <c r="C20" s="90"/>
      <c r="D20" s="586" t="s">
        <v>265</v>
      </c>
      <c r="E20" s="587"/>
      <c r="F20" s="97"/>
      <c r="G20" s="98"/>
      <c r="K20" s="75"/>
      <c r="L20" s="75"/>
    </row>
    <row r="21" spans="1:12" ht="12.75" customHeight="1" x14ac:dyDescent="0.2"/>
    <row r="22" spans="1:12" ht="12.75" customHeight="1" x14ac:dyDescent="0.2">
      <c r="A22" s="10" t="s">
        <v>77</v>
      </c>
    </row>
    <row r="23" spans="1:12" ht="12.75" customHeight="1" x14ac:dyDescent="0.2"/>
    <row r="24" spans="1:12" ht="12.75" customHeight="1" x14ac:dyDescent="0.2">
      <c r="A24" s="100"/>
      <c r="B24" s="101"/>
      <c r="C24" s="207" t="s">
        <v>161</v>
      </c>
      <c r="D24" s="207" t="s">
        <v>1</v>
      </c>
      <c r="E24" s="207" t="s">
        <v>260</v>
      </c>
    </row>
    <row r="25" spans="1:12" ht="12.75" customHeight="1" x14ac:dyDescent="0.2">
      <c r="A25" s="38"/>
      <c r="C25" s="166" t="s">
        <v>162</v>
      </c>
      <c r="D25" s="209"/>
      <c r="E25" s="209"/>
    </row>
    <row r="26" spans="1:12" ht="12.75" customHeight="1" x14ac:dyDescent="0.2">
      <c r="A26" s="38"/>
      <c r="C26" s="221">
        <f>VLOOKUP(LønkodeRåd2Time,TabelPctReg,3)</f>
        <v>36616</v>
      </c>
      <c r="D26" s="209"/>
      <c r="E26" s="222">
        <f>Dato1</f>
        <v>46113</v>
      </c>
    </row>
    <row r="27" spans="1:12" ht="12.75" customHeight="1" x14ac:dyDescent="0.2">
      <c r="A27" s="92">
        <v>12</v>
      </c>
      <c r="B27" s="122" t="s">
        <v>4</v>
      </c>
      <c r="C27" s="180"/>
      <c r="D27" s="90"/>
      <c r="E27" s="104">
        <f>ROUND(VLOOKUP(D27,TabelLøn,StartKolonneRåd2Time,1)*BeskGradRåd2Time*12/1924,2)+ROUND(C27/12*BeskGradRåd2Time*(1+PctRegTime%)*12/1924,2)</f>
        <v>0</v>
      </c>
    </row>
    <row r="28" spans="1:12" ht="12.75" customHeight="1" x14ac:dyDescent="0.2">
      <c r="A28" s="92">
        <v>13</v>
      </c>
      <c r="B28" s="116" t="s">
        <v>144</v>
      </c>
      <c r="C28" s="103"/>
      <c r="D28" s="94"/>
      <c r="E28" s="104"/>
    </row>
    <row r="29" spans="1:12" ht="12.75" customHeight="1" x14ac:dyDescent="0.2">
      <c r="A29" s="93"/>
      <c r="B29" s="93" t="s">
        <v>250</v>
      </c>
      <c r="C29" s="103"/>
      <c r="D29" s="90"/>
      <c r="E29" s="104">
        <f>ROUND((VLOOKUP($D$27+D29,TabelLøn,StartKolonneRåd2Time,1)-VLOOKUP($D$27,TabelLøn,StartKolonneRåd2Time,1))*BeskGradRåd2Time*12/1924,2)</f>
        <v>0</v>
      </c>
    </row>
    <row r="30" spans="1:12" ht="12.75" customHeight="1" x14ac:dyDescent="0.2">
      <c r="A30" s="94"/>
      <c r="B30" s="93" t="s">
        <v>251</v>
      </c>
      <c r="C30" s="180"/>
      <c r="D30" s="94"/>
      <c r="E30" s="104">
        <f>ROUND(C30/12*BeskGradRåd2Time*(1+PctRegTime%)*12/1924,2)</f>
        <v>0</v>
      </c>
    </row>
    <row r="31" spans="1:12" ht="12.75" customHeight="1" x14ac:dyDescent="0.2">
      <c r="A31" s="92"/>
      <c r="B31" s="93" t="s">
        <v>252</v>
      </c>
      <c r="C31" s="103"/>
      <c r="D31" s="90"/>
      <c r="E31" s="104">
        <f>ROUND((VLOOKUP($D$27+D29+D31,TabelLøn,StartKolonneRåd2Time,1)-VLOOKUP($D$27+D29,TabelLøn,StartKolonneRåd2Time,1))*BeskGradRåd2Time*12/1924,2)</f>
        <v>0</v>
      </c>
    </row>
    <row r="32" spans="1:12" ht="12.75" customHeight="1" x14ac:dyDescent="0.2">
      <c r="A32" s="96"/>
      <c r="B32" s="93" t="s">
        <v>253</v>
      </c>
      <c r="C32" s="180"/>
      <c r="D32" s="94"/>
      <c r="E32" s="104">
        <f>ROUND(C32/12*BeskGradRåd2Time*(1+PctRegTime%)*12/1924,2)</f>
        <v>0</v>
      </c>
    </row>
    <row r="33" spans="1:12" ht="12.75" customHeight="1" x14ac:dyDescent="0.2">
      <c r="A33" s="96"/>
      <c r="B33" s="93" t="s">
        <v>249</v>
      </c>
      <c r="C33" s="180"/>
      <c r="D33" s="94"/>
      <c r="E33" s="104">
        <f>ROUND(C33/12*BeskGradRåd2Time*(1+PctRegTime%)*12/1924,2)</f>
        <v>0</v>
      </c>
    </row>
    <row r="34" spans="1:12" ht="12.75" customHeight="1" x14ac:dyDescent="0.2">
      <c r="A34" s="202">
        <v>14</v>
      </c>
      <c r="B34" s="93" t="s">
        <v>145</v>
      </c>
      <c r="C34" s="103"/>
      <c r="D34" s="93"/>
      <c r="E34" s="122"/>
    </row>
    <row r="35" spans="1:12" ht="12.75" customHeight="1" x14ac:dyDescent="0.2">
      <c r="A35" s="92"/>
      <c r="B35" s="93" t="s">
        <v>250</v>
      </c>
      <c r="C35" s="103"/>
      <c r="D35" s="90"/>
      <c r="E35" s="104">
        <f>ROUND((VLOOKUP($D$27+D29+D31+D35,TabelLøn,StartKolonneRåd2Time,1)-VLOOKUP($D$27+D29+D31,TabelLøn,StartKolonneRåd2Time,1))*BeskGradRåd2Time*12/1924,2)</f>
        <v>0</v>
      </c>
    </row>
    <row r="36" spans="1:12" ht="12.75" customHeight="1" x14ac:dyDescent="0.2">
      <c r="A36" s="94"/>
      <c r="B36" s="93" t="s">
        <v>251</v>
      </c>
      <c r="C36" s="180"/>
      <c r="D36" s="94"/>
      <c r="E36" s="104">
        <f>ROUND(C36/12*BeskGradRåd2Time*(1+PctRegTime%)*12/1924,2)</f>
        <v>0</v>
      </c>
    </row>
    <row r="37" spans="1:12" ht="12.75" customHeight="1" x14ac:dyDescent="0.2">
      <c r="A37" s="92"/>
      <c r="B37" s="93" t="s">
        <v>252</v>
      </c>
      <c r="C37" s="103"/>
      <c r="D37" s="90"/>
      <c r="E37" s="104">
        <f>ROUND((VLOOKUP(SUM($D$27:D37),TabelLøn,StartKolonneRåd2Time,1)-VLOOKUP(SUM($D$27:D35),TabelLøn,StartKolonneRåd2Time,1))*BeskGradRåd2Time*12/1924,2)</f>
        <v>0</v>
      </c>
    </row>
    <row r="38" spans="1:12" ht="12.75" customHeight="1" x14ac:dyDescent="0.2">
      <c r="A38" s="94"/>
      <c r="B38" s="93" t="s">
        <v>253</v>
      </c>
      <c r="C38" s="180"/>
      <c r="D38" s="94"/>
      <c r="E38" s="104">
        <f>ROUND(C38/12*BeskGradRåd2Time*(1+PctRegTime%)*12/1924,2)</f>
        <v>0</v>
      </c>
    </row>
    <row r="39" spans="1:12" ht="12.75" customHeight="1" x14ac:dyDescent="0.2">
      <c r="A39" s="94"/>
      <c r="B39" s="93" t="s">
        <v>249</v>
      </c>
      <c r="C39" s="180"/>
      <c r="D39" s="94"/>
      <c r="E39" s="104">
        <f>ROUND(C39/12*BeskGradRåd2Time*(1+PctRegTime%)*12/1924,2)</f>
        <v>0</v>
      </c>
    </row>
    <row r="40" spans="1:12" ht="12.75" customHeight="1" x14ac:dyDescent="0.2">
      <c r="A40" s="92">
        <v>15</v>
      </c>
      <c r="B40" s="99" t="s">
        <v>13</v>
      </c>
      <c r="C40" s="103"/>
      <c r="D40" s="94"/>
      <c r="E40" s="104"/>
    </row>
    <row r="41" spans="1:12" ht="12.75" customHeight="1" x14ac:dyDescent="0.2">
      <c r="A41" s="92"/>
      <c r="B41" s="99" t="s">
        <v>254</v>
      </c>
      <c r="C41" s="180"/>
      <c r="D41" s="94"/>
      <c r="E41" s="104">
        <f>ROUND(C41/12*BeskGradRåd2Time*(1+PctRegTime%)*12/1924,2)</f>
        <v>0</v>
      </c>
    </row>
    <row r="42" spans="1:12" ht="12.75" customHeight="1" x14ac:dyDescent="0.2">
      <c r="A42" s="94"/>
      <c r="B42" s="99" t="s">
        <v>249</v>
      </c>
      <c r="C42" s="180"/>
      <c r="D42" s="94"/>
      <c r="E42" s="104">
        <f>ROUND(C42/12*BeskGradRåd2Time*(1+PctRegTime%)*12/1924,2)</f>
        <v>0</v>
      </c>
      <c r="K42" s="75"/>
      <c r="L42" s="75"/>
    </row>
    <row r="43" spans="1:12" ht="12.75" customHeight="1" x14ac:dyDescent="0.2">
      <c r="A43" s="94"/>
      <c r="B43" s="233" t="s">
        <v>248</v>
      </c>
      <c r="C43" s="104">
        <f>SUM(C27:C42)</f>
        <v>0</v>
      </c>
      <c r="D43" s="106">
        <f>SUM(D27:D42)</f>
        <v>0</v>
      </c>
      <c r="E43" s="104">
        <f>SUM(E27:E42)</f>
        <v>0</v>
      </c>
      <c r="K43" s="75" t="s">
        <v>235</v>
      </c>
      <c r="L43" s="75" t="s">
        <v>22</v>
      </c>
    </row>
    <row r="44" spans="1:12" ht="12.75" customHeight="1" x14ac:dyDescent="0.2">
      <c r="A44" s="92">
        <v>16</v>
      </c>
      <c r="B44" s="93" t="s">
        <v>238</v>
      </c>
      <c r="C44" s="103"/>
      <c r="D44" s="94"/>
      <c r="E44" s="104">
        <f>ROUND(VLOOKUP(D45,TabelLønninger,VLOOKUP(LønkodeRåd2Time,TabelPensgivLøn,2))*PensionsProcentTilgangTime/100*BeskGradRåd2Time/1924,2)+L44</f>
        <v>0</v>
      </c>
      <c r="K44" s="104">
        <f>C43-C33-C39-C42</f>
        <v>0</v>
      </c>
      <c r="L44" s="104">
        <f>ROUND(K44/12*BeskGradRåd2Time*(1+PctRegTime%)*PensionsProcentTilgangTime/100*12/1924,2)</f>
        <v>0</v>
      </c>
    </row>
    <row r="45" spans="1:12" ht="12.75" customHeight="1" x14ac:dyDescent="0.2">
      <c r="A45" s="92">
        <v>17</v>
      </c>
      <c r="B45" s="233" t="s">
        <v>245</v>
      </c>
      <c r="C45" s="104">
        <f>SUM(C43:C44)</f>
        <v>0</v>
      </c>
      <c r="D45" s="106">
        <f>SUM(D43:D44)</f>
        <v>0</v>
      </c>
      <c r="E45" s="104">
        <f>SUM(E43:E44)</f>
        <v>0</v>
      </c>
    </row>
    <row r="46" spans="1:12" ht="12.75" customHeight="1" x14ac:dyDescent="0.2"/>
    <row r="47" spans="1:12" ht="12.75" customHeight="1" x14ac:dyDescent="0.2">
      <c r="A47" s="598" t="s">
        <v>212</v>
      </c>
      <c r="B47" s="599"/>
      <c r="C47" s="599"/>
      <c r="D47" s="599"/>
      <c r="E47" s="599"/>
      <c r="F47" s="599"/>
      <c r="G47" s="600"/>
    </row>
    <row r="48" spans="1:12" ht="12.75" customHeight="1" x14ac:dyDescent="0.2">
      <c r="A48" s="581"/>
      <c r="B48" s="582"/>
      <c r="C48" s="582"/>
      <c r="D48" s="582"/>
      <c r="E48" s="582"/>
      <c r="F48" s="582"/>
      <c r="G48" s="583"/>
    </row>
    <row r="49" spans="1:7" ht="12.75" customHeight="1" x14ac:dyDescent="0.2">
      <c r="A49" s="578"/>
      <c r="B49" s="579"/>
      <c r="C49" s="579"/>
      <c r="D49" s="579"/>
      <c r="E49" s="579"/>
      <c r="F49" s="579"/>
      <c r="G49" s="580"/>
    </row>
    <row r="50" spans="1:7" ht="12.75" customHeight="1" x14ac:dyDescent="0.2">
      <c r="A50" s="578"/>
      <c r="B50" s="579"/>
      <c r="C50" s="579"/>
      <c r="D50" s="579"/>
      <c r="E50" s="579"/>
      <c r="F50" s="579"/>
      <c r="G50" s="580"/>
    </row>
    <row r="51" spans="1:7" ht="12.75" customHeight="1" x14ac:dyDescent="0.2">
      <c r="A51" s="578"/>
      <c r="B51" s="579"/>
      <c r="C51" s="579"/>
      <c r="D51" s="579"/>
      <c r="E51" s="579"/>
      <c r="F51" s="579"/>
      <c r="G51" s="580"/>
    </row>
    <row r="52" spans="1:7" ht="12.75" customHeight="1" x14ac:dyDescent="0.2">
      <c r="A52" s="578"/>
      <c r="B52" s="579"/>
      <c r="C52" s="579"/>
      <c r="D52" s="579"/>
      <c r="E52" s="579"/>
      <c r="F52" s="579"/>
      <c r="G52" s="580"/>
    </row>
    <row r="53" spans="1:7" ht="12.75" customHeight="1" x14ac:dyDescent="0.2">
      <c r="A53" s="595"/>
      <c r="B53" s="596"/>
      <c r="C53" s="596"/>
      <c r="D53" s="596"/>
      <c r="E53" s="596"/>
      <c r="F53" s="596"/>
      <c r="G53" s="597"/>
    </row>
    <row r="54" spans="1:7" ht="12.75" customHeight="1" x14ac:dyDescent="0.2"/>
    <row r="55" spans="1:7" ht="12.75" customHeight="1" x14ac:dyDescent="0.2">
      <c r="A55" s="10" t="s">
        <v>153</v>
      </c>
    </row>
    <row r="56" spans="1:7" ht="12.75" customHeight="1" x14ac:dyDescent="0.2">
      <c r="A56" s="9" t="s">
        <v>154</v>
      </c>
    </row>
    <row r="57" spans="1:7" ht="12.75" customHeight="1" x14ac:dyDescent="0.2">
      <c r="A57" s="9" t="s">
        <v>14</v>
      </c>
    </row>
    <row r="58" spans="1:7" ht="12.75" customHeight="1" x14ac:dyDescent="0.2"/>
    <row r="59" spans="1:7" ht="12.75" customHeight="1" x14ac:dyDescent="0.2">
      <c r="A59" s="10" t="s">
        <v>263</v>
      </c>
    </row>
    <row r="60" spans="1:7" ht="12.75" customHeight="1" x14ac:dyDescent="0.2">
      <c r="A60" s="96" t="s">
        <v>9</v>
      </c>
      <c r="B60" s="191"/>
      <c r="C60" s="97" t="s">
        <v>9</v>
      </c>
      <c r="D60" s="588"/>
      <c r="E60" s="589"/>
      <c r="F60" s="96" t="s">
        <v>9</v>
      </c>
      <c r="G60" s="191"/>
    </row>
    <row r="61" spans="1:7" ht="12.75" customHeight="1" x14ac:dyDescent="0.2">
      <c r="A61" s="124"/>
      <c r="B61" s="125"/>
      <c r="F61" s="124"/>
      <c r="G61" s="125"/>
    </row>
    <row r="62" spans="1:7" ht="12.75" customHeight="1" x14ac:dyDescent="0.2">
      <c r="A62" s="124"/>
      <c r="B62" s="125"/>
      <c r="F62" s="124"/>
      <c r="G62" s="125"/>
    </row>
    <row r="63" spans="1:7" ht="12.75" customHeight="1" x14ac:dyDescent="0.2">
      <c r="A63" s="99" t="s">
        <v>15</v>
      </c>
      <c r="B63" s="98"/>
      <c r="C63" s="116" t="s">
        <v>16</v>
      </c>
      <c r="D63" s="116"/>
      <c r="E63" s="97"/>
      <c r="F63" s="99" t="s">
        <v>17</v>
      </c>
      <c r="G63" s="126"/>
    </row>
    <row r="64" spans="1:7" ht="12.75" customHeight="1" x14ac:dyDescent="0.2"/>
    <row r="65" spans="1:1" ht="12.75" customHeight="1" x14ac:dyDescent="0.2">
      <c r="A65" s="10" t="s">
        <v>319</v>
      </c>
    </row>
    <row r="66" spans="1:1" ht="12.75" customHeight="1" x14ac:dyDescent="0.2"/>
  </sheetData>
  <sheetProtection password="CF28" sheet="1"/>
  <customSheetViews>
    <customSheetView guid="{40555330-83BF-42FA-97D0-8A355A41C0A0}" hiddenColumns="1" state="hidden">
      <selection activeCell="C12" sqref="C12"/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20">
    <mergeCell ref="D60:E60"/>
    <mergeCell ref="C14:D14"/>
    <mergeCell ref="D15:G15"/>
    <mergeCell ref="C16:D16"/>
    <mergeCell ref="A49:G49"/>
    <mergeCell ref="A50:G50"/>
    <mergeCell ref="A52:G52"/>
    <mergeCell ref="A48:G48"/>
    <mergeCell ref="A53:G53"/>
    <mergeCell ref="A47:G47"/>
    <mergeCell ref="C13:G13"/>
    <mergeCell ref="C17:D17"/>
    <mergeCell ref="A51:G51"/>
    <mergeCell ref="A3:G3"/>
    <mergeCell ref="C9:G9"/>
    <mergeCell ref="D7:G7"/>
    <mergeCell ref="C5:G5"/>
    <mergeCell ref="C6:G6"/>
    <mergeCell ref="C8:G8"/>
    <mergeCell ref="D20:E20"/>
  </mergeCells>
  <phoneticPr fontId="0" type="noConversion"/>
  <conditionalFormatting sqref="B18 B19:C19">
    <cfRule type="cellIs" dxfId="5" priority="1" stopIfTrue="1" operator="notEqual">
      <formula>"Lønkode"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/>
  <dimension ref="A1:M50"/>
  <sheetViews>
    <sheetView topLeftCell="A10" zoomScaleSheetLayoutView="85" workbookViewId="0">
      <selection activeCell="T39" sqref="T39"/>
    </sheetView>
  </sheetViews>
  <sheetFormatPr defaultColWidth="9.33203125" defaultRowHeight="12.75" x14ac:dyDescent="0.2"/>
  <cols>
    <col min="1" max="1" width="1.83203125" style="9" customWidth="1"/>
    <col min="2" max="2" width="26.83203125" style="9" customWidth="1"/>
    <col min="3" max="3" width="10.83203125" style="9" customWidth="1"/>
    <col min="4" max="7" width="14.83203125" style="9" customWidth="1"/>
    <col min="8" max="8" width="1.83203125" style="9" customWidth="1"/>
    <col min="9" max="9" width="9.33203125" style="9"/>
    <col min="10" max="10" width="6.1640625" style="9" customWidth="1"/>
    <col min="11" max="11" width="13" style="9" hidden="1" customWidth="1"/>
    <col min="12" max="13" width="9.33203125" style="9" hidden="1" customWidth="1"/>
    <col min="14" max="16384" width="9.33203125" style="9"/>
  </cols>
  <sheetData>
    <row r="1" spans="1:12" ht="5.0999999999999996" customHeight="1" x14ac:dyDescent="0.2">
      <c r="A1" s="75"/>
      <c r="B1" s="75"/>
      <c r="C1" s="75"/>
      <c r="D1" s="75"/>
      <c r="E1" s="75"/>
      <c r="F1" s="75"/>
      <c r="G1" s="75"/>
    </row>
    <row r="2" spans="1:12" x14ac:dyDescent="0.2">
      <c r="A2" s="75"/>
      <c r="B2" s="10" t="s">
        <v>10</v>
      </c>
      <c r="C2" s="75"/>
      <c r="D2" s="75"/>
      <c r="E2" s="75"/>
      <c r="F2" s="75"/>
      <c r="G2" s="84">
        <f ca="1">TODAY()</f>
        <v>46140</v>
      </c>
    </row>
    <row r="3" spans="1:12" x14ac:dyDescent="0.2">
      <c r="A3" s="75"/>
      <c r="B3" s="10" t="s">
        <v>383</v>
      </c>
      <c r="C3" s="75"/>
      <c r="D3" s="75"/>
      <c r="E3" s="75"/>
      <c r="F3" s="75"/>
      <c r="G3" s="75"/>
    </row>
    <row r="4" spans="1:12" x14ac:dyDescent="0.2">
      <c r="A4" s="75"/>
      <c r="B4" s="75"/>
      <c r="C4" s="75"/>
      <c r="D4" s="75"/>
      <c r="E4" s="75"/>
      <c r="F4" s="75"/>
      <c r="G4" s="75"/>
    </row>
    <row r="6" spans="1:12" x14ac:dyDescent="0.2">
      <c r="B6" s="11"/>
      <c r="C6" s="12"/>
    </row>
    <row r="7" spans="1:12" ht="15" customHeight="1" x14ac:dyDescent="0.2">
      <c r="B7" s="11" t="str">
        <f>"NY LØN     UDGIFTSBEREGNING     "&amp;Dato3</f>
        <v>NY LØN     UDGIFTSBEREGNING     1. APRIL 2026</v>
      </c>
      <c r="C7" s="12"/>
      <c r="D7" s="12"/>
      <c r="E7" s="12"/>
      <c r="F7" s="12"/>
      <c r="G7" s="12"/>
      <c r="H7" s="9" t="s">
        <v>7</v>
      </c>
    </row>
    <row r="8" spans="1:12" ht="15" customHeight="1" x14ac:dyDescent="0.2"/>
    <row r="9" spans="1:12" ht="15" customHeight="1" x14ac:dyDescent="0.2">
      <c r="B9" s="13" t="s">
        <v>103</v>
      </c>
    </row>
    <row r="10" spans="1:12" ht="15" customHeight="1" x14ac:dyDescent="0.2">
      <c r="B10" s="13"/>
    </row>
    <row r="11" spans="1:12" ht="15" customHeight="1" x14ac:dyDescent="0.25">
      <c r="B11" s="13" t="s">
        <v>11</v>
      </c>
      <c r="C11" s="14"/>
      <c r="D11" s="15"/>
      <c r="E11" s="15"/>
      <c r="F11" s="16"/>
    </row>
    <row r="12" spans="1:12" ht="15" customHeight="1" x14ac:dyDescent="0.2"/>
    <row r="13" spans="1:12" ht="15" customHeight="1" x14ac:dyDescent="0.2">
      <c r="B13" s="13" t="s">
        <v>97</v>
      </c>
      <c r="D13" s="253"/>
      <c r="F13" s="17"/>
    </row>
    <row r="14" spans="1:12" ht="15" customHeight="1" x14ac:dyDescent="0.2">
      <c r="B14" s="13" t="s">
        <v>98</v>
      </c>
      <c r="D14" s="253">
        <v>37</v>
      </c>
      <c r="E14" s="267"/>
      <c r="F14" s="10"/>
      <c r="G14" s="18"/>
    </row>
    <row r="15" spans="1:12" ht="15" customHeight="1" x14ac:dyDescent="0.2">
      <c r="B15" s="13" t="s">
        <v>104</v>
      </c>
      <c r="D15" s="253">
        <v>0</v>
      </c>
      <c r="E15" s="270" t="s">
        <v>322</v>
      </c>
      <c r="F15" s="10"/>
      <c r="K15" s="9" t="s">
        <v>272</v>
      </c>
      <c r="L15" s="9">
        <f>VLOOKUP(LønkodeUd,TabelPctReg,2)</f>
        <v>65.337800000000001</v>
      </c>
    </row>
    <row r="16" spans="1:12" ht="15" customHeight="1" x14ac:dyDescent="0.2">
      <c r="B16" s="19"/>
      <c r="E16" s="270" t="s">
        <v>323</v>
      </c>
      <c r="F16" s="10"/>
      <c r="G16" s="78"/>
      <c r="H16" s="78"/>
      <c r="K16" s="9" t="s">
        <v>281</v>
      </c>
      <c r="L16" s="259" t="str">
        <f>TEXT(VLOOKUP(LønkodeUd,TabelPctReg,3),"d/m-åååå")</f>
        <v>31/3-2000</v>
      </c>
    </row>
    <row r="17" spans="2:8" ht="15" customHeight="1" x14ac:dyDescent="0.2">
      <c r="B17" s="20" t="s">
        <v>266</v>
      </c>
      <c r="C17" s="21"/>
      <c r="D17" s="254"/>
      <c r="E17" s="13" t="s">
        <v>265</v>
      </c>
      <c r="F17" s="267"/>
      <c r="G17" s="78"/>
      <c r="H17" s="78"/>
    </row>
    <row r="18" spans="2:8" ht="15" customHeight="1" x14ac:dyDescent="0.2">
      <c r="B18" s="22"/>
      <c r="C18" s="19"/>
      <c r="D18" s="21"/>
      <c r="E18" s="19"/>
      <c r="F18" s="267"/>
      <c r="G18" s="21"/>
    </row>
    <row r="19" spans="2:8" ht="15" customHeight="1" x14ac:dyDescent="0.2">
      <c r="B19" s="23" t="s">
        <v>18</v>
      </c>
      <c r="C19" s="24" t="s">
        <v>19</v>
      </c>
      <c r="D19" s="25" t="s">
        <v>20</v>
      </c>
      <c r="E19" s="26" t="s">
        <v>21</v>
      </c>
      <c r="F19" s="27" t="s">
        <v>5</v>
      </c>
      <c r="G19" s="85" t="s">
        <v>22</v>
      </c>
    </row>
    <row r="20" spans="2:8" ht="15" customHeight="1" x14ac:dyDescent="0.2">
      <c r="B20" s="28"/>
      <c r="C20" s="29"/>
      <c r="D20" s="30"/>
      <c r="E20" s="31" t="s">
        <v>23</v>
      </c>
      <c r="F20" s="31" t="s">
        <v>23</v>
      </c>
      <c r="G20" s="31" t="s">
        <v>23</v>
      </c>
    </row>
    <row r="21" spans="2:8" ht="15" customHeight="1" x14ac:dyDescent="0.2">
      <c r="B21" s="28"/>
      <c r="C21" s="29"/>
      <c r="D21" s="30" t="str">
        <f>PctRegUdDato</f>
        <v>31/3-2000</v>
      </c>
      <c r="E21" s="31"/>
      <c r="F21" s="32"/>
      <c r="G21" s="83">
        <f>D17/100</f>
        <v>0</v>
      </c>
    </row>
    <row r="22" spans="2:8" ht="15" customHeight="1" x14ac:dyDescent="0.2">
      <c r="B22" s="33"/>
      <c r="C22" s="34"/>
      <c r="D22" s="35" t="s">
        <v>213</v>
      </c>
      <c r="E22" s="36">
        <f>Dato1</f>
        <v>46113</v>
      </c>
      <c r="F22" s="36">
        <f>Dato1</f>
        <v>46113</v>
      </c>
      <c r="G22" s="36">
        <f>Dato1</f>
        <v>46113</v>
      </c>
    </row>
    <row r="23" spans="2:8" ht="15" customHeight="1" x14ac:dyDescent="0.2">
      <c r="B23" s="33" t="s">
        <v>24</v>
      </c>
      <c r="C23" s="37"/>
      <c r="D23" s="38"/>
      <c r="E23" s="39">
        <f>ROUND(VLOOKUP(C23,TabelLønninger,StartKolonneUdLøn,1)*TællerUd/NævnerUd,2)</f>
        <v>0</v>
      </c>
      <c r="F23" s="40"/>
      <c r="G23" s="39">
        <f>ROUND(VLOOKUP(C23,TabelLønninger,VLOOKUP(LønkodeUd,TabelPensgivLøn,2))*PensionsprocentUdgift/100/12*TællerUd/NævnerUd,2)</f>
        <v>0</v>
      </c>
    </row>
    <row r="24" spans="2:8" ht="15" customHeight="1" x14ac:dyDescent="0.2">
      <c r="B24" s="33" t="s">
        <v>25</v>
      </c>
      <c r="C24" s="41"/>
      <c r="D24" s="38"/>
      <c r="E24" s="42">
        <f>ROUND(VLOOKUP(C24,TabelLønninger,StartKolonneUdLøn,1)*TællerUd/NævnerUd,2)</f>
        <v>0</v>
      </c>
      <c r="F24" s="43"/>
      <c r="G24" s="42">
        <f>ROUND(VLOOKUP(C24,TabelLønninger,VLOOKUP(LønkodeUd,TabelPensgivLøn,2))*PensionsprocentUdgift/100/12*TællerUd/NævnerUd,2)</f>
        <v>0</v>
      </c>
    </row>
    <row r="25" spans="2:8" ht="15" customHeight="1" thickBot="1" x14ac:dyDescent="0.25">
      <c r="B25" s="33" t="s">
        <v>26</v>
      </c>
      <c r="C25" s="44">
        <f>C24-C23</f>
        <v>0</v>
      </c>
      <c r="D25" s="45"/>
      <c r="E25" s="46">
        <f>E24-E23</f>
        <v>0</v>
      </c>
      <c r="F25" s="47"/>
      <c r="G25" s="48">
        <f>G24-G23</f>
        <v>0</v>
      </c>
    </row>
    <row r="26" spans="2:8" ht="15" customHeight="1" thickTop="1" x14ac:dyDescent="0.2">
      <c r="B26" s="33" t="s">
        <v>27</v>
      </c>
      <c r="C26" s="49"/>
      <c r="D26" s="50"/>
      <c r="E26" s="51"/>
      <c r="F26" s="52">
        <f>ROUND(D26/12*(1+PctRegUd%)*TællerUd/NævnerUd,2)</f>
        <v>0</v>
      </c>
      <c r="G26" s="53">
        <f>ROUND(F26*PensionsprocentUdgift/100,2)</f>
        <v>0</v>
      </c>
    </row>
    <row r="27" spans="2:8" ht="15" customHeight="1" x14ac:dyDescent="0.2">
      <c r="B27" s="33" t="s">
        <v>28</v>
      </c>
      <c r="C27" s="54"/>
      <c r="D27" s="55"/>
      <c r="E27" s="56"/>
      <c r="F27" s="57">
        <f>ROUND(D27/12*(1+PctRegUd%)*TællerUd/NævnerUd,2)</f>
        <v>0</v>
      </c>
      <c r="G27" s="42">
        <f>ROUND(F27*PensionsprocentUdgift/100,2)</f>
        <v>0</v>
      </c>
    </row>
    <row r="28" spans="2:8" ht="15" customHeight="1" thickBot="1" x14ac:dyDescent="0.25">
      <c r="B28" s="33" t="s">
        <v>29</v>
      </c>
      <c r="C28" s="58"/>
      <c r="D28" s="59">
        <f>D27-D26</f>
        <v>0</v>
      </c>
      <c r="E28" s="60"/>
      <c r="F28" s="61">
        <f>F27-F26</f>
        <v>0</v>
      </c>
      <c r="G28" s="62">
        <f>G27-G26</f>
        <v>0</v>
      </c>
    </row>
    <row r="29" spans="2:8" ht="15" customHeight="1" thickTop="1" x14ac:dyDescent="0.25">
      <c r="B29" s="260" t="str">
        <f>"* Tillæg pr. år i "&amp;PctRegUdDato&amp;" niveau kan opgøres ved at indtaste nutidsværdien i række 43"</f>
        <v>* Tillæg pr. år i 31/3-2000 niveau kan opgøres ved at indtaste nutidsværdien i række 43</v>
      </c>
      <c r="G29" s="63"/>
    </row>
    <row r="30" spans="2:8" ht="15" customHeight="1" x14ac:dyDescent="0.2">
      <c r="B30" s="18"/>
      <c r="G30" s="63"/>
    </row>
    <row r="31" spans="2:8" ht="15" customHeight="1" x14ac:dyDescent="0.2">
      <c r="B31" s="13" t="s">
        <v>171</v>
      </c>
      <c r="C31" s="13"/>
      <c r="D31" s="64" t="s">
        <v>31</v>
      </c>
      <c r="E31" s="65"/>
      <c r="F31" s="64" t="s">
        <v>32</v>
      </c>
      <c r="G31" s="10"/>
    </row>
    <row r="32" spans="2:8" ht="15" customHeight="1" x14ac:dyDescent="0.2">
      <c r="B32" s="13" t="s">
        <v>19</v>
      </c>
      <c r="C32" s="86" t="s">
        <v>33</v>
      </c>
      <c r="D32" s="66">
        <f>E25</f>
        <v>0</v>
      </c>
      <c r="E32" s="10"/>
      <c r="F32" s="67">
        <f>E25</f>
        <v>0</v>
      </c>
      <c r="G32" s="10"/>
    </row>
    <row r="33" spans="2:7" ht="15" customHeight="1" x14ac:dyDescent="0.2">
      <c r="B33" s="13" t="s">
        <v>5</v>
      </c>
      <c r="C33" s="86" t="s">
        <v>33</v>
      </c>
      <c r="D33" s="66">
        <f>F28</f>
        <v>0</v>
      </c>
      <c r="E33" s="10"/>
      <c r="F33" s="66">
        <f>F28</f>
        <v>0</v>
      </c>
      <c r="G33" s="10"/>
    </row>
    <row r="34" spans="2:7" ht="15" customHeight="1" x14ac:dyDescent="0.2">
      <c r="B34" s="13" t="s">
        <v>22</v>
      </c>
      <c r="C34" s="86" t="s">
        <v>33</v>
      </c>
      <c r="D34" s="66">
        <f>G25+G28</f>
        <v>0</v>
      </c>
      <c r="E34" s="10"/>
      <c r="F34" s="66">
        <f>G25+G28</f>
        <v>0</v>
      </c>
      <c r="G34" s="65"/>
    </row>
    <row r="35" spans="2:7" ht="15" customHeight="1" x14ac:dyDescent="0.2">
      <c r="B35" s="13" t="s">
        <v>320</v>
      </c>
      <c r="C35" s="86" t="s">
        <v>33</v>
      </c>
      <c r="D35" s="66">
        <f>ROUND((D32+D33)*1.95%,2)</f>
        <v>0</v>
      </c>
      <c r="E35" s="10"/>
      <c r="F35" s="66">
        <f>ROUND((F32+F33)*12.5%,2)</f>
        <v>0</v>
      </c>
      <c r="G35" s="65"/>
    </row>
    <row r="36" spans="2:7" ht="15" customHeight="1" x14ac:dyDescent="0.2">
      <c r="B36" s="13" t="s">
        <v>34</v>
      </c>
      <c r="C36" s="86" t="s">
        <v>33</v>
      </c>
      <c r="D36" s="68"/>
      <c r="E36" s="32" t="s">
        <v>35</v>
      </c>
      <c r="F36" s="69"/>
      <c r="G36" s="65"/>
    </row>
    <row r="37" spans="2:7" ht="15" customHeight="1" x14ac:dyDescent="0.2">
      <c r="B37" s="70" t="s">
        <v>36</v>
      </c>
      <c r="C37" s="87" t="s">
        <v>33</v>
      </c>
      <c r="D37" s="71"/>
      <c r="E37" s="13"/>
      <c r="F37" s="72"/>
      <c r="G37" s="10"/>
    </row>
    <row r="38" spans="2:7" ht="15" customHeight="1" thickBot="1" x14ac:dyDescent="0.25">
      <c r="B38" s="73" t="s">
        <v>37</v>
      </c>
      <c r="C38" s="88" t="s">
        <v>33</v>
      </c>
      <c r="D38" s="74">
        <f>SUM(D32:D37)</f>
        <v>0</v>
      </c>
      <c r="E38" s="10"/>
      <c r="F38" s="74">
        <f>SUM(F32:F37)</f>
        <v>0</v>
      </c>
      <c r="G38" s="10"/>
    </row>
    <row r="39" spans="2:7" ht="15" customHeight="1" thickTop="1" x14ac:dyDescent="0.2">
      <c r="B39" s="75"/>
      <c r="C39" s="89"/>
      <c r="D39" s="76"/>
    </row>
    <row r="40" spans="2:7" ht="15" customHeight="1" thickBot="1" x14ac:dyDescent="0.25">
      <c r="B40" s="73" t="s">
        <v>38</v>
      </c>
      <c r="C40" s="88" t="s">
        <v>33</v>
      </c>
      <c r="D40" s="74">
        <f>D38*12</f>
        <v>0</v>
      </c>
      <c r="E40" s="10"/>
      <c r="F40" s="74">
        <f>F38*12</f>
        <v>0</v>
      </c>
    </row>
    <row r="41" spans="2:7" ht="15" customHeight="1" thickTop="1" x14ac:dyDescent="0.2"/>
    <row r="42" spans="2:7" ht="15" customHeight="1" x14ac:dyDescent="0.2">
      <c r="B42" s="10" t="s">
        <v>218</v>
      </c>
    </row>
    <row r="43" spans="2:7" x14ac:dyDescent="0.2">
      <c r="B43" s="13" t="s">
        <v>39</v>
      </c>
      <c r="D43" s="68"/>
      <c r="F43" s="68"/>
    </row>
    <row r="44" spans="2:7" x14ac:dyDescent="0.2">
      <c r="B44" s="13" t="str">
        <f>"Nettoløn "&amp;Dato4</f>
        <v>Nettoløn 1/4-2026</v>
      </c>
      <c r="D44" s="66">
        <f>D43/(1+PensionsprocentUdgift/100+0.015)</f>
        <v>0</v>
      </c>
      <c r="F44" s="66">
        <f>F43/(1+PensionsprocentUdgift/100+0.125)</f>
        <v>0</v>
      </c>
    </row>
    <row r="45" spans="2:7" ht="13.5" thickBot="1" x14ac:dyDescent="0.25">
      <c r="B45" s="73" t="str">
        <f>"Nettoløn "&amp;PctRegUdDato&amp;" niveau"</f>
        <v>Nettoløn 31/3-2000 niveau</v>
      </c>
      <c r="C45" s="77"/>
      <c r="D45" s="74">
        <f>ROUND(D44/(1+PctRegUd/100),0)</f>
        <v>0</v>
      </c>
      <c r="F45" s="74">
        <f>ROUND(F44/(1+PctRegUd/100),0)</f>
        <v>0</v>
      </c>
    </row>
    <row r="46" spans="2:7" ht="13.5" thickTop="1" x14ac:dyDescent="0.2"/>
    <row r="47" spans="2:7" x14ac:dyDescent="0.2">
      <c r="B47" s="10" t="s">
        <v>321</v>
      </c>
    </row>
    <row r="48" spans="2:7" x14ac:dyDescent="0.2">
      <c r="B48" s="13" t="str">
        <f>"Nettoløn "&amp;Dato4</f>
        <v>Nettoløn 1/4-2026</v>
      </c>
      <c r="D48" s="66">
        <f>D44*0.0195</f>
        <v>0</v>
      </c>
      <c r="F48" s="66">
        <f>F44*0.125</f>
        <v>0</v>
      </c>
    </row>
    <row r="49" spans="2:6" ht="13.5" thickBot="1" x14ac:dyDescent="0.25">
      <c r="B49" s="73" t="str">
        <f>"Nettoløn "&amp;PctRegUdDato&amp;" niveau"</f>
        <v>Nettoløn 31/3-2000 niveau</v>
      </c>
      <c r="C49" s="77"/>
      <c r="D49" s="74">
        <f>ROUND(D48/(1+PctRegUd/100),0)</f>
        <v>0</v>
      </c>
      <c r="F49" s="74">
        <f>ROUND(F48/(1+PctRegUd/100),0)</f>
        <v>0</v>
      </c>
    </row>
    <row r="50" spans="2:6" ht="13.5" thickTop="1" x14ac:dyDescent="0.2"/>
  </sheetData>
  <sheetProtection password="CF28" sheet="1"/>
  <customSheetViews>
    <customSheetView guid="{40555330-83BF-42FA-97D0-8A355A41C0A0}" hiddenColumns="1" state="hidden">
      <selection activeCell="I13" sqref="I13"/>
      <pageMargins left="0.59055118110236227" right="0.39370078740157483" top="0.39370078740157483" bottom="0.39370078740157483" header="0" footer="0.39370078740157483"/>
      <pageSetup paperSize="9" scale="89" orientation="portrait" blackAndWhite="1" horizontalDpi="4294967292" r:id="rId1"/>
      <headerFooter alignWithMargins="0">
        <oddFooter>&amp;CSide &amp;P af  &amp;N</oddFooter>
      </headerFooter>
    </customSheetView>
  </customSheetViews>
  <phoneticPr fontId="0" type="noConversion"/>
  <pageMargins left="0.59055118110236227" right="0.39370078740157483" top="0.39370078740157483" bottom="0.39370078740157483" header="0" footer="0.39370078740157483"/>
  <pageSetup paperSize="9" scale="89" orientation="portrait" blackAndWhite="1" horizontalDpi="4294967292" r:id="rId2"/>
  <headerFooter alignWithMargins="0">
    <oddFooter>&amp;CSide &amp;P af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/>
  <dimension ref="A1:AX308"/>
  <sheetViews>
    <sheetView workbookViewId="0">
      <pane xSplit="2" ySplit="20" topLeftCell="C26" activePane="bottomRight" state="frozen"/>
      <selection pane="topRight" activeCell="C1" sqref="C1"/>
      <selection pane="bottomLeft" activeCell="A18" sqref="A18"/>
      <selection pane="bottomRight" activeCell="R1" sqref="R1:S1"/>
    </sheetView>
  </sheetViews>
  <sheetFormatPr defaultColWidth="9.33203125" defaultRowHeight="9" x14ac:dyDescent="0.15"/>
  <cols>
    <col min="1" max="1" width="10.1640625" style="129" customWidth="1"/>
    <col min="2" max="2" width="19.6640625" style="129" customWidth="1"/>
    <col min="3" max="3" width="3" style="129" customWidth="1"/>
    <col min="4" max="4" width="6.83203125" style="129" customWidth="1"/>
    <col min="5" max="5" width="9.1640625" style="129" bestFit="1" customWidth="1"/>
    <col min="6" max="6" width="6" style="129" bestFit="1" customWidth="1"/>
    <col min="7" max="7" width="5.83203125" style="129" bestFit="1" customWidth="1"/>
    <col min="8" max="8" width="6.83203125" style="129" bestFit="1" customWidth="1"/>
    <col min="9" max="13" width="6.83203125" style="129" customWidth="1"/>
    <col min="14" max="17" width="7.5" style="130" customWidth="1"/>
    <col min="18" max="19" width="7.5" style="129" customWidth="1"/>
    <col min="20" max="20" width="6.33203125" style="129" customWidth="1"/>
    <col min="21" max="32" width="10.1640625" style="129" hidden="1" customWidth="1"/>
    <col min="33" max="33" width="6.1640625" style="129" hidden="1" customWidth="1"/>
    <col min="34" max="43" width="10.1640625" style="129" hidden="1" customWidth="1"/>
    <col min="44" max="44" width="7.5" style="129" hidden="1" customWidth="1"/>
    <col min="45" max="45" width="7.33203125" style="129" hidden="1" customWidth="1"/>
    <col min="46" max="46" width="8.33203125" style="129" hidden="1" customWidth="1"/>
    <col min="47" max="47" width="11.1640625" style="129" hidden="1" customWidth="1"/>
    <col min="48" max="48" width="7.1640625" style="129" hidden="1" customWidth="1"/>
    <col min="49" max="49" width="9.83203125" style="129" hidden="1" customWidth="1"/>
    <col min="50" max="50" width="9.1640625" style="129" hidden="1" customWidth="1"/>
    <col min="51" max="16384" width="9.33203125" style="129"/>
  </cols>
  <sheetData>
    <row r="1" spans="1:49" ht="9" customHeight="1" x14ac:dyDescent="0.15">
      <c r="A1" s="128" t="str">
        <f>"PULJEBELASTNING "&amp;Puljeår</f>
        <v xml:space="preserve">PULJEBELASTNING </v>
      </c>
      <c r="D1" s="128"/>
      <c r="E1" s="128"/>
      <c r="F1" s="128"/>
      <c r="R1" s="608">
        <f ca="1">TODAY()</f>
        <v>46140</v>
      </c>
      <c r="S1" s="608"/>
    </row>
    <row r="2" spans="1:49" ht="9.75" thickBot="1" x14ac:dyDescent="0.2"/>
    <row r="3" spans="1:49" x14ac:dyDescent="0.15">
      <c r="A3" s="128" t="str">
        <f>"Lønninger pr. "&amp; Dato2</f>
        <v>Lønninger pr. 1. april 2026</v>
      </c>
      <c r="J3" s="131"/>
      <c r="K3" s="132"/>
      <c r="L3" s="132"/>
      <c r="M3" s="132"/>
      <c r="N3" s="132"/>
      <c r="O3" s="132"/>
      <c r="P3" s="132"/>
      <c r="Q3" s="132" t="s">
        <v>58</v>
      </c>
      <c r="R3" s="132"/>
      <c r="S3" s="225"/>
      <c r="AM3" s="130"/>
      <c r="AN3" s="130"/>
      <c r="AO3" s="130"/>
      <c r="AP3" s="130"/>
      <c r="AQ3" s="130"/>
      <c r="AR3" s="130"/>
      <c r="AS3" s="130"/>
    </row>
    <row r="4" spans="1:49" x14ac:dyDescent="0.15">
      <c r="J4" s="133"/>
      <c r="K4" s="134"/>
      <c r="L4" s="134"/>
      <c r="M4" s="134"/>
      <c r="N4" s="134"/>
      <c r="O4" s="134"/>
      <c r="P4" s="134"/>
      <c r="Q4" s="135" t="s">
        <v>59</v>
      </c>
      <c r="R4" s="135" t="s">
        <v>59</v>
      </c>
      <c r="S4" s="226" t="s">
        <v>59</v>
      </c>
      <c r="AM4" s="130"/>
      <c r="AN4" s="130"/>
      <c r="AO4" s="130"/>
      <c r="AP4" s="130"/>
      <c r="AQ4" s="130"/>
      <c r="AR4" s="130"/>
      <c r="AS4" s="130"/>
    </row>
    <row r="5" spans="1:49" ht="9.75" thickBot="1" x14ac:dyDescent="0.2">
      <c r="A5" s="196" t="s">
        <v>246</v>
      </c>
      <c r="B5" s="197"/>
      <c r="J5" s="136"/>
      <c r="K5" s="137"/>
      <c r="L5" s="137"/>
      <c r="M5" s="137"/>
      <c r="N5" s="137"/>
      <c r="O5" s="137"/>
      <c r="P5" s="137"/>
      <c r="Q5" s="138">
        <f>Puljeår</f>
        <v>0</v>
      </c>
      <c r="R5" s="138">
        <f>Puljeår+1</f>
        <v>1</v>
      </c>
      <c r="S5" s="227">
        <f>Puljeår+2</f>
        <v>2</v>
      </c>
      <c r="AM5" s="130"/>
      <c r="AN5" s="130"/>
      <c r="AO5" s="130"/>
      <c r="AP5" s="130"/>
      <c r="AQ5" s="130"/>
      <c r="AR5" s="130"/>
      <c r="AS5" s="130"/>
    </row>
    <row r="6" spans="1:49" x14ac:dyDescent="0.15">
      <c r="A6" s="198"/>
      <c r="B6" s="199"/>
      <c r="J6" s="178" t="s">
        <v>230</v>
      </c>
      <c r="K6" s="177"/>
      <c r="L6" s="139"/>
      <c r="M6" s="139"/>
      <c r="N6" s="139"/>
      <c r="O6" s="139"/>
      <c r="P6" s="139"/>
      <c r="Q6" s="214">
        <v>0</v>
      </c>
      <c r="R6" s="214">
        <v>0</v>
      </c>
      <c r="S6" s="265">
        <v>0</v>
      </c>
      <c r="AM6" s="130"/>
      <c r="AN6" s="130"/>
      <c r="AO6" s="130"/>
      <c r="AP6" s="130"/>
      <c r="AQ6" s="130"/>
      <c r="AR6" s="130"/>
      <c r="AS6" s="130"/>
    </row>
    <row r="7" spans="1:49" x14ac:dyDescent="0.15">
      <c r="A7" s="196" t="s">
        <v>247</v>
      </c>
      <c r="B7" s="197"/>
      <c r="J7" s="218" t="s">
        <v>324</v>
      </c>
      <c r="K7" s="217"/>
      <c r="L7" s="140"/>
      <c r="M7" s="140"/>
      <c r="N7" s="140"/>
      <c r="O7" s="140"/>
      <c r="P7" s="140"/>
      <c r="Q7" s="271">
        <v>0</v>
      </c>
      <c r="R7" s="271">
        <v>0</v>
      </c>
      <c r="S7" s="272">
        <v>0</v>
      </c>
      <c r="AM7" s="130"/>
      <c r="AN7" s="130"/>
      <c r="AO7" s="130"/>
      <c r="AP7" s="130"/>
      <c r="AQ7" s="130"/>
      <c r="AR7" s="130"/>
      <c r="AS7" s="130"/>
    </row>
    <row r="8" spans="1:49" x14ac:dyDescent="0.15">
      <c r="A8" s="198"/>
      <c r="B8" s="199"/>
      <c r="J8" s="216" t="s">
        <v>172</v>
      </c>
      <c r="K8" s="177"/>
      <c r="L8" s="139"/>
      <c r="M8" s="139"/>
      <c r="N8" s="139"/>
      <c r="O8" s="139"/>
      <c r="P8" s="139"/>
      <c r="Q8" s="194">
        <f>SUM(Q6:Q7)</f>
        <v>0</v>
      </c>
      <c r="R8" s="214">
        <f>SUM(R6:R7)</f>
        <v>0</v>
      </c>
      <c r="S8" s="195">
        <f>SUM(S6:S7)</f>
        <v>0</v>
      </c>
      <c r="AM8" s="130"/>
      <c r="AN8" s="130"/>
      <c r="AO8" s="130"/>
      <c r="AP8" s="130"/>
      <c r="AQ8" s="130"/>
      <c r="AR8" s="130"/>
      <c r="AS8" s="130"/>
    </row>
    <row r="9" spans="1:49" ht="9" customHeight="1" x14ac:dyDescent="0.15">
      <c r="A9" s="192"/>
      <c r="B9" s="192"/>
      <c r="J9" s="193" t="s">
        <v>166</v>
      </c>
      <c r="K9" s="177"/>
      <c r="L9" s="139"/>
      <c r="M9" s="139"/>
      <c r="N9" s="139"/>
      <c r="O9" s="139"/>
      <c r="P9" s="139"/>
      <c r="Q9" s="194">
        <f>SUMIF(V:V,1,AS:AS)*-1</f>
        <v>0</v>
      </c>
      <c r="R9" s="194">
        <f>SUMIF(V:V,1,AT:AT)*-1</f>
        <v>0</v>
      </c>
      <c r="S9" s="195">
        <f>SUMIF(V:V,1,AU:AU)*-1</f>
        <v>0</v>
      </c>
      <c r="AM9" s="130"/>
      <c r="AN9" s="130"/>
      <c r="AO9" s="130"/>
      <c r="AP9" s="130"/>
      <c r="AQ9" s="130"/>
      <c r="AR9" s="130"/>
      <c r="AS9" s="130"/>
    </row>
    <row r="10" spans="1:49" ht="9" customHeight="1" thickBot="1" x14ac:dyDescent="0.2">
      <c r="J10" s="264" t="s">
        <v>285</v>
      </c>
      <c r="K10" s="263"/>
      <c r="L10" s="263"/>
      <c r="M10" s="263"/>
      <c r="N10" s="263"/>
      <c r="O10" s="263"/>
      <c r="P10" s="263"/>
      <c r="Q10" s="194">
        <f>SUMIF(V:V,0,AS:AS)*-1</f>
        <v>0</v>
      </c>
      <c r="R10" s="194">
        <f>SUMIF(V:V,0,AT:AT)*-1</f>
        <v>0</v>
      </c>
      <c r="S10" s="195">
        <f>SUMIF(V:V,0,AU:AU)*-1</f>
        <v>0</v>
      </c>
      <c r="AM10" s="130"/>
      <c r="AN10" s="130"/>
      <c r="AO10" s="130"/>
      <c r="AP10" s="130"/>
      <c r="AQ10" s="130"/>
      <c r="AR10" s="130"/>
      <c r="AS10" s="130"/>
    </row>
    <row r="11" spans="1:49" ht="9" customHeight="1" thickBot="1" x14ac:dyDescent="0.2">
      <c r="J11" s="250" t="s">
        <v>60</v>
      </c>
      <c r="K11" s="251"/>
      <c r="L11" s="251"/>
      <c r="M11" s="251"/>
      <c r="N11" s="251"/>
      <c r="O11" s="251"/>
      <c r="P11" s="251"/>
      <c r="Q11" s="252">
        <f>SUM(Q8:Q10)</f>
        <v>0</v>
      </c>
      <c r="R11" s="252">
        <f>SUM(R8:R10)</f>
        <v>0</v>
      </c>
      <c r="S11" s="256">
        <f>SUM(S8:S10)</f>
        <v>0</v>
      </c>
      <c r="AM11" s="130"/>
      <c r="AN11" s="130"/>
      <c r="AO11" s="130"/>
      <c r="AP11" s="130"/>
      <c r="AQ11" s="130"/>
      <c r="AR11" s="130"/>
      <c r="AS11" s="130"/>
    </row>
    <row r="12" spans="1:49" ht="9.75" thickBot="1" x14ac:dyDescent="0.2">
      <c r="A12" s="220" t="s">
        <v>177</v>
      </c>
      <c r="B12" s="220" t="s">
        <v>178</v>
      </c>
      <c r="C12" s="220" t="s">
        <v>175</v>
      </c>
      <c r="D12" s="220" t="s">
        <v>176</v>
      </c>
      <c r="E12" s="220" t="s">
        <v>179</v>
      </c>
      <c r="F12" s="220" t="s">
        <v>180</v>
      </c>
      <c r="G12" s="220" t="s">
        <v>181</v>
      </c>
      <c r="H12" s="220" t="s">
        <v>182</v>
      </c>
      <c r="I12" s="220" t="s">
        <v>183</v>
      </c>
      <c r="J12" s="220" t="s">
        <v>184</v>
      </c>
      <c r="K12" s="220" t="s">
        <v>192</v>
      </c>
      <c r="L12" s="220" t="s">
        <v>185</v>
      </c>
      <c r="M12" s="220" t="s">
        <v>193</v>
      </c>
      <c r="N12" s="220" t="s">
        <v>186</v>
      </c>
      <c r="O12" s="220" t="s">
        <v>187</v>
      </c>
      <c r="P12" s="220" t="s">
        <v>188</v>
      </c>
      <c r="Q12" s="220" t="s">
        <v>189</v>
      </c>
      <c r="R12" s="220" t="s">
        <v>190</v>
      </c>
      <c r="S12" s="220" t="s">
        <v>191</v>
      </c>
    </row>
    <row r="13" spans="1:49" x14ac:dyDescent="0.15">
      <c r="A13" s="131" t="s">
        <v>173</v>
      </c>
      <c r="B13" s="132" t="s">
        <v>65</v>
      </c>
      <c r="C13" s="132" t="s">
        <v>113</v>
      </c>
      <c r="D13" s="132"/>
      <c r="E13" s="132" t="s">
        <v>106</v>
      </c>
      <c r="F13" s="132" t="s">
        <v>116</v>
      </c>
      <c r="G13" s="132" t="s">
        <v>61</v>
      </c>
      <c r="H13" s="132" t="s">
        <v>61</v>
      </c>
      <c r="I13" s="132" t="s">
        <v>149</v>
      </c>
      <c r="J13" s="132" t="s">
        <v>5</v>
      </c>
      <c r="K13" s="132" t="s">
        <v>120</v>
      </c>
      <c r="L13" s="132" t="s">
        <v>120</v>
      </c>
      <c r="M13" s="132" t="s">
        <v>62</v>
      </c>
      <c r="N13" s="132" t="s">
        <v>63</v>
      </c>
      <c r="O13" s="132" t="s">
        <v>63</v>
      </c>
      <c r="P13" s="132" t="s">
        <v>63</v>
      </c>
      <c r="Q13" s="132" t="s">
        <v>58</v>
      </c>
      <c r="R13" s="141"/>
      <c r="S13" s="225"/>
      <c r="U13" s="142"/>
      <c r="V13" s="142"/>
      <c r="W13" s="142"/>
      <c r="X13" s="142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</row>
    <row r="14" spans="1:49" x14ac:dyDescent="0.15">
      <c r="A14" s="133"/>
      <c r="B14" s="134"/>
      <c r="C14" s="134" t="s">
        <v>114</v>
      </c>
      <c r="D14" s="134"/>
      <c r="E14" s="134" t="s">
        <v>107</v>
      </c>
      <c r="F14" s="134" t="s">
        <v>117</v>
      </c>
      <c r="G14" s="134" t="s">
        <v>66</v>
      </c>
      <c r="H14" s="134" t="s">
        <v>67</v>
      </c>
      <c r="I14" s="134" t="s">
        <v>68</v>
      </c>
      <c r="J14" s="134" t="s">
        <v>163</v>
      </c>
      <c r="K14" s="134" t="s">
        <v>121</v>
      </c>
      <c r="L14" s="134" t="s">
        <v>121</v>
      </c>
      <c r="M14" s="134" t="s">
        <v>70</v>
      </c>
      <c r="N14" s="246">
        <f>Puljeår</f>
        <v>0</v>
      </c>
      <c r="O14" s="246">
        <f>Puljeår+1</f>
        <v>1</v>
      </c>
      <c r="P14" s="246">
        <f>Puljeår+2</f>
        <v>2</v>
      </c>
      <c r="Q14" s="144" t="s">
        <v>59</v>
      </c>
      <c r="R14" s="144" t="s">
        <v>59</v>
      </c>
      <c r="S14" s="226" t="s">
        <v>59</v>
      </c>
    </row>
    <row r="15" spans="1:49" x14ac:dyDescent="0.15">
      <c r="A15" s="133"/>
      <c r="B15" s="134"/>
      <c r="C15" s="134" t="s">
        <v>108</v>
      </c>
      <c r="D15" s="145"/>
      <c r="E15" s="145" t="s">
        <v>110</v>
      </c>
      <c r="F15" s="145" t="s">
        <v>118</v>
      </c>
      <c r="G15" s="134" t="s">
        <v>72</v>
      </c>
      <c r="H15" s="134" t="s">
        <v>73</v>
      </c>
      <c r="I15" s="134" t="s">
        <v>2</v>
      </c>
      <c r="J15" s="134" t="s">
        <v>164</v>
      </c>
      <c r="K15" s="134" t="s">
        <v>61</v>
      </c>
      <c r="L15" s="134" t="s">
        <v>70</v>
      </c>
      <c r="M15" s="134" t="s">
        <v>74</v>
      </c>
      <c r="N15" s="134" t="s">
        <v>61</v>
      </c>
      <c r="O15" s="134" t="s">
        <v>61</v>
      </c>
      <c r="P15" s="134" t="s">
        <v>61</v>
      </c>
      <c r="Q15" s="135">
        <f>Puljeår</f>
        <v>0</v>
      </c>
      <c r="R15" s="135">
        <f>Puljeår+1</f>
        <v>1</v>
      </c>
      <c r="S15" s="245">
        <f>Puljeår+2</f>
        <v>2</v>
      </c>
    </row>
    <row r="16" spans="1:49" x14ac:dyDescent="0.15">
      <c r="A16" s="133"/>
      <c r="B16" s="134"/>
      <c r="C16" s="134" t="s">
        <v>109</v>
      </c>
      <c r="D16" s="145"/>
      <c r="E16" s="145" t="s">
        <v>111</v>
      </c>
      <c r="F16" s="145"/>
      <c r="G16" s="134" t="s">
        <v>115</v>
      </c>
      <c r="H16" s="134" t="s">
        <v>66</v>
      </c>
      <c r="I16" s="134"/>
      <c r="J16" s="176" t="s">
        <v>284</v>
      </c>
      <c r="K16" s="134" t="s">
        <v>122</v>
      </c>
      <c r="L16" s="134" t="s">
        <v>69</v>
      </c>
      <c r="M16" s="165"/>
      <c r="N16" s="134" t="s">
        <v>75</v>
      </c>
      <c r="O16" s="134" t="s">
        <v>75</v>
      </c>
      <c r="P16" s="134" t="s">
        <v>75</v>
      </c>
      <c r="Q16" s="146"/>
      <c r="R16" s="146"/>
      <c r="S16" s="228"/>
      <c r="U16" s="129" t="s">
        <v>165</v>
      </c>
      <c r="V16" s="129" t="s">
        <v>257</v>
      </c>
      <c r="W16" s="129" t="s">
        <v>135</v>
      </c>
      <c r="X16" s="129" t="s">
        <v>141</v>
      </c>
      <c r="Y16" s="129" t="s">
        <v>279</v>
      </c>
      <c r="Z16" s="129" t="s">
        <v>21</v>
      </c>
      <c r="AA16" s="129" t="s">
        <v>22</v>
      </c>
      <c r="AB16" s="129" t="s">
        <v>125</v>
      </c>
      <c r="AC16" s="129" t="s">
        <v>125</v>
      </c>
      <c r="AD16" s="129" t="s">
        <v>130</v>
      </c>
      <c r="AE16" s="129" t="s">
        <v>130</v>
      </c>
      <c r="AF16" s="129" t="s">
        <v>130</v>
      </c>
      <c r="AG16" s="129" t="s">
        <v>130</v>
      </c>
      <c r="AH16" s="129" t="s">
        <v>142</v>
      </c>
      <c r="AJ16" s="129" t="s">
        <v>131</v>
      </c>
      <c r="AK16" s="129" t="s">
        <v>131</v>
      </c>
      <c r="AM16" s="129" t="s">
        <v>76</v>
      </c>
      <c r="AN16" s="129" t="s">
        <v>133</v>
      </c>
      <c r="AO16" s="129" t="s">
        <v>138</v>
      </c>
      <c r="AS16" s="609" t="s">
        <v>268</v>
      </c>
      <c r="AT16" s="609"/>
      <c r="AU16" s="609"/>
      <c r="AW16" s="129" t="s">
        <v>157</v>
      </c>
    </row>
    <row r="17" spans="1:49" x14ac:dyDescent="0.15">
      <c r="A17" s="133"/>
      <c r="B17" s="134"/>
      <c r="C17" s="134" t="s">
        <v>146</v>
      </c>
      <c r="D17" s="145"/>
      <c r="E17" s="145" t="s">
        <v>112</v>
      </c>
      <c r="F17" s="145"/>
      <c r="G17" s="134"/>
      <c r="H17" s="134" t="s">
        <v>72</v>
      </c>
      <c r="I17" s="134"/>
      <c r="J17" s="134"/>
      <c r="K17" s="134"/>
      <c r="L17" s="134" t="s">
        <v>211</v>
      </c>
      <c r="M17" s="134"/>
      <c r="N17" s="134"/>
      <c r="O17" s="134"/>
      <c r="P17" s="134"/>
      <c r="Q17" s="146"/>
      <c r="R17" s="146"/>
      <c r="S17" s="228"/>
      <c r="V17" s="129" t="s">
        <v>258</v>
      </c>
      <c r="X17" s="129" t="s">
        <v>143</v>
      </c>
      <c r="Y17" s="129" t="s">
        <v>280</v>
      </c>
      <c r="Z17" s="129" t="s">
        <v>124</v>
      </c>
      <c r="AA17" s="129" t="s">
        <v>124</v>
      </c>
      <c r="AB17" s="129" t="s">
        <v>124</v>
      </c>
      <c r="AC17" s="129" t="s">
        <v>22</v>
      </c>
      <c r="AD17" s="129" t="s">
        <v>2</v>
      </c>
      <c r="AE17" s="129" t="s">
        <v>2</v>
      </c>
      <c r="AF17" s="129" t="s">
        <v>5</v>
      </c>
      <c r="AG17" s="129" t="s">
        <v>5</v>
      </c>
      <c r="AH17" s="129" t="s">
        <v>124</v>
      </c>
      <c r="AJ17" s="129" t="s">
        <v>124</v>
      </c>
      <c r="AK17" s="129" t="s">
        <v>132</v>
      </c>
      <c r="AM17" s="129" t="s">
        <v>78</v>
      </c>
      <c r="AN17" s="129" t="s">
        <v>134</v>
      </c>
      <c r="AO17" s="147" t="s">
        <v>139</v>
      </c>
      <c r="AP17" s="147"/>
      <c r="AQ17" s="147"/>
      <c r="AR17" s="147"/>
      <c r="AS17" s="147"/>
      <c r="AT17" s="147"/>
      <c r="AU17" s="147"/>
      <c r="AW17" s="129" t="s">
        <v>158</v>
      </c>
    </row>
    <row r="18" spans="1:49" x14ac:dyDescent="0.15">
      <c r="A18" s="133"/>
      <c r="B18" s="134"/>
      <c r="C18" s="134" t="s">
        <v>147</v>
      </c>
      <c r="D18" s="145"/>
      <c r="E18" s="145" t="s">
        <v>282</v>
      </c>
      <c r="F18" s="145"/>
      <c r="G18" s="134"/>
      <c r="H18" s="134" t="s">
        <v>115</v>
      </c>
      <c r="I18" s="134"/>
      <c r="J18" s="134"/>
      <c r="K18" s="134"/>
      <c r="L18" s="176" t="s">
        <v>284</v>
      </c>
      <c r="M18" s="134"/>
      <c r="N18" s="134"/>
      <c r="O18" s="134"/>
      <c r="P18" s="134"/>
      <c r="Q18" s="146"/>
      <c r="R18" s="146"/>
      <c r="S18" s="228"/>
      <c r="AC18" s="129" t="s">
        <v>124</v>
      </c>
      <c r="AD18" s="129" t="s">
        <v>124</v>
      </c>
      <c r="AE18" s="129" t="s">
        <v>124</v>
      </c>
      <c r="AF18" s="129" t="s">
        <v>124</v>
      </c>
      <c r="AG18" s="129" t="s">
        <v>124</v>
      </c>
      <c r="AM18" s="129" t="s">
        <v>79</v>
      </c>
      <c r="AN18" s="129" t="s">
        <v>135</v>
      </c>
      <c r="AO18" s="129" t="s">
        <v>140</v>
      </c>
      <c r="AP18" s="129" t="s">
        <v>140</v>
      </c>
      <c r="AQ18" s="129" t="s">
        <v>140</v>
      </c>
      <c r="AS18" s="255">
        <f>Q15</f>
        <v>0</v>
      </c>
      <c r="AT18" s="255">
        <f>R15</f>
        <v>1</v>
      </c>
      <c r="AU18" s="255">
        <f>S15</f>
        <v>2</v>
      </c>
      <c r="AW18" s="129">
        <f>MAX(AW20:AW308)</f>
        <v>0</v>
      </c>
    </row>
    <row r="19" spans="1:49" x14ac:dyDescent="0.15">
      <c r="A19" s="133"/>
      <c r="B19" s="134"/>
      <c r="C19" s="134" t="s">
        <v>195</v>
      </c>
      <c r="D19" s="145"/>
      <c r="E19" s="145" t="s">
        <v>283</v>
      </c>
      <c r="F19" s="145"/>
      <c r="G19" s="134"/>
      <c r="H19" s="134"/>
      <c r="I19" s="134"/>
      <c r="J19" s="134"/>
      <c r="K19" s="134"/>
      <c r="L19" s="176"/>
      <c r="M19" s="134"/>
      <c r="N19" s="134"/>
      <c r="O19" s="134"/>
      <c r="P19" s="134"/>
      <c r="Q19" s="146"/>
      <c r="R19" s="146"/>
      <c r="S19" s="228"/>
      <c r="AE19" s="129" t="s">
        <v>22</v>
      </c>
      <c r="AG19" s="129" t="s">
        <v>22</v>
      </c>
      <c r="AQ19" s="129" t="s">
        <v>22</v>
      </c>
      <c r="AS19" s="255"/>
      <c r="AT19" s="255"/>
      <c r="AU19" s="255"/>
    </row>
    <row r="20" spans="1:49" ht="9.75" thickBot="1" x14ac:dyDescent="0.2">
      <c r="A20" s="136"/>
      <c r="B20" s="137"/>
      <c r="C20" s="134"/>
      <c r="D20" s="145"/>
      <c r="E20" s="145" t="s">
        <v>287</v>
      </c>
      <c r="F20" s="145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48"/>
      <c r="R20" s="148"/>
      <c r="S20" s="224"/>
    </row>
    <row r="21" spans="1:49" ht="9.75" thickBot="1" x14ac:dyDescent="0.2">
      <c r="A21" s="157"/>
      <c r="B21" s="158"/>
      <c r="C21" s="158"/>
      <c r="D21" s="149" t="str">
        <f t="shared" ref="D21:D111" si="0">VLOOKUP(C21,Tabelændringskode,2,1)</f>
        <v xml:space="preserve"> </v>
      </c>
      <c r="E21" s="161"/>
      <c r="F21" s="261">
        <v>0</v>
      </c>
      <c r="G21" s="161">
        <v>37</v>
      </c>
      <c r="H21" s="161">
        <v>37</v>
      </c>
      <c r="I21" s="161"/>
      <c r="J21" s="163"/>
      <c r="K21" s="161"/>
      <c r="L21" s="163"/>
      <c r="M21" s="150"/>
      <c r="N21" s="150"/>
      <c r="O21" s="150"/>
      <c r="P21" s="150"/>
      <c r="Q21" s="151"/>
      <c r="R21" s="151"/>
      <c r="S21" s="152"/>
      <c r="V21" s="129">
        <f>VLOOKUP(C21,TabelRammeforbrug,3,1)</f>
        <v>0</v>
      </c>
      <c r="W21" s="129">
        <f>VLOOKUP(C21,FraTil,3,1)</f>
        <v>0</v>
      </c>
      <c r="X21" s="129">
        <f>VLOOKUP(C21,JNferiepenge,3,1)</f>
        <v>0</v>
      </c>
      <c r="Y21" s="129">
        <f>VLOOKUP(E21,TabelPctReg,2)</f>
        <v>65.337800000000001</v>
      </c>
      <c r="Z21" s="153">
        <f t="shared" ref="Z21:Z84" si="1">ROUND(VLOOKUP(I21,TabelLønninger,VLOOKUP(E21,TabelLøntabel,2,1),1)*G21/H21,2)</f>
        <v>0</v>
      </c>
      <c r="AA21" s="248">
        <f t="shared" ref="AA21:AA84" si="2">ROUND(VLOOKUP(I21,TabelLønninger,VLOOKUP(E21,TabelPensgivLøn,2))*F21/12*G21/H21,2)</f>
        <v>0</v>
      </c>
      <c r="AB21" s="153">
        <f>ROUND(J21/12*(1+Y21%),2)*G21/H21</f>
        <v>0</v>
      </c>
      <c r="AC21" s="248">
        <f t="shared" ref="AC21:AC84" si="3">ROUND(AB21*F21,2)</f>
        <v>0</v>
      </c>
      <c r="AD21" s="153">
        <f t="shared" ref="AD21:AD84" si="4">ROUND(VLOOKUP(I21+K21,TabelLønninger,VLOOKUP(E21,TabelLøntabel,2,1),1)*G21/H21,2)-Z21</f>
        <v>0</v>
      </c>
      <c r="AE21" s="248">
        <f t="shared" ref="AE21:AE84" si="5">ROUND(VLOOKUP(I21+K21,TabelLønninger,VLOOKUP(E21,TabelPensgivLøn,2))*F21/12*G21/H21,2)-AA21</f>
        <v>0</v>
      </c>
      <c r="AF21" s="153">
        <f>ROUND(L21/12*(1+Y21%),2)*G21/H21</f>
        <v>0</v>
      </c>
      <c r="AG21" s="248">
        <f t="shared" ref="AG21:AG84" si="6">ROUND(AF21*F21,2)</f>
        <v>0</v>
      </c>
      <c r="AH21" s="153">
        <f>ROUND((Z21+AB21+AD21+AF21)*X21%,2)</f>
        <v>0</v>
      </c>
      <c r="AI21" s="153"/>
      <c r="AJ21" s="153">
        <f>SUM(Z21:AH21)</f>
        <v>0</v>
      </c>
      <c r="AK21" s="153">
        <f>AJ21*12</f>
        <v>0</v>
      </c>
      <c r="AL21" s="153"/>
      <c r="AM21" s="153"/>
      <c r="AN21" s="153"/>
      <c r="AO21" s="153"/>
      <c r="AP21" s="153"/>
      <c r="AQ21" s="153"/>
      <c r="AW21" s="129">
        <f>IF(ISNUMBER(C21),ROW(),0)</f>
        <v>0</v>
      </c>
    </row>
    <row r="22" spans="1:49" ht="9.75" thickBot="1" x14ac:dyDescent="0.2">
      <c r="A22" s="159"/>
      <c r="B22" s="160"/>
      <c r="C22" s="160"/>
      <c r="D22" s="149" t="str">
        <f t="shared" si="0"/>
        <v xml:space="preserve"> </v>
      </c>
      <c r="E22" s="162"/>
      <c r="F22" s="261">
        <v>0</v>
      </c>
      <c r="G22" s="162">
        <v>37</v>
      </c>
      <c r="H22" s="162">
        <v>37</v>
      </c>
      <c r="I22" s="162"/>
      <c r="J22" s="164"/>
      <c r="K22" s="162"/>
      <c r="L22" s="164"/>
      <c r="M22" s="164"/>
      <c r="N22" s="162"/>
      <c r="O22" s="162"/>
      <c r="P22" s="162"/>
      <c r="Q22" s="155">
        <f>AS22</f>
        <v>0</v>
      </c>
      <c r="R22" s="155">
        <f>AT22</f>
        <v>0</v>
      </c>
      <c r="S22" s="156">
        <f>AU22</f>
        <v>0</v>
      </c>
      <c r="U22" s="129">
        <f>IF(OR(C21=5,C22=5),0,1)</f>
        <v>1</v>
      </c>
      <c r="V22" s="129">
        <f t="shared" ref="V22:V85" si="7">VLOOKUP(C22,TabelRammeforbrug,3,1)</f>
        <v>0</v>
      </c>
      <c r="W22" s="129">
        <f t="shared" ref="W22:W85" si="8">VLOOKUP(C22,FraTil,3,1)</f>
        <v>0</v>
      </c>
      <c r="X22" s="129">
        <f t="shared" ref="X22:X40" si="9">VLOOKUP(C22,JNferiepenge,3,1)</f>
        <v>0</v>
      </c>
      <c r="Y22" s="129">
        <f t="shared" ref="Y22:Y85" si="10">VLOOKUP(E22,TabelPctReg,2)</f>
        <v>65.337800000000001</v>
      </c>
      <c r="Z22" s="153">
        <f t="shared" si="1"/>
        <v>0</v>
      </c>
      <c r="AA22" s="248">
        <f t="shared" si="2"/>
        <v>0</v>
      </c>
      <c r="AB22" s="153">
        <f t="shared" ref="AB22:AB85" si="11">ROUND(J22/12*(1+Y22%),2)*G22/H22</f>
        <v>0</v>
      </c>
      <c r="AC22" s="248">
        <f t="shared" si="3"/>
        <v>0</v>
      </c>
      <c r="AD22" s="153">
        <f t="shared" si="4"/>
        <v>0</v>
      </c>
      <c r="AE22" s="248">
        <f t="shared" si="5"/>
        <v>0</v>
      </c>
      <c r="AF22" s="153">
        <f t="shared" ref="AF22:AF85" si="12">ROUND(L22/12*(1+Y22%),2)*G22/H22</f>
        <v>0</v>
      </c>
      <c r="AG22" s="248">
        <f t="shared" si="6"/>
        <v>0</v>
      </c>
      <c r="AH22" s="153">
        <f t="shared" ref="AH22:AH85" si="13">ROUND((Z22+AB22+AD22+AF22)*X22%,2)</f>
        <v>0</v>
      </c>
      <c r="AI22" s="153"/>
      <c r="AJ22" s="153">
        <f t="shared" ref="AJ22:AJ85" si="14">SUM(Z22:AH22)</f>
        <v>0</v>
      </c>
      <c r="AK22" s="153">
        <f t="shared" ref="AK22:AK85" si="15">AJ22*12</f>
        <v>0</v>
      </c>
      <c r="AL22" s="153"/>
      <c r="AM22" s="153">
        <f>AK21*W21+AK22*W22</f>
        <v>0</v>
      </c>
      <c r="AN22" s="153">
        <f>(SUM(AD21:AG21)*W21+SUM(AD22:AG22)*W22)*12*VLOOKUP(C22,JNovergang,3,1)</f>
        <v>0</v>
      </c>
      <c r="AO22" s="153">
        <f>AM22-AN22</f>
        <v>0</v>
      </c>
      <c r="AP22" s="153">
        <f>M22*(100+X22)%</f>
        <v>0</v>
      </c>
      <c r="AQ22" s="248">
        <f>ROUND(M22*F22,2)</f>
        <v>0</v>
      </c>
      <c r="AS22" s="248">
        <f>ROUND((AP22+AQ22)+AM22*(N22/12),0)</f>
        <v>0</v>
      </c>
      <c r="AT22" s="248">
        <f>ROUND(AM22*(O22/12),0)</f>
        <v>0</v>
      </c>
      <c r="AU22" s="248">
        <f>ROUND(AM22*(P22/12)*U22,0)</f>
        <v>0</v>
      </c>
      <c r="AW22" s="129">
        <f t="shared" ref="AW22:AW85" si="16">IF(ISNUMBER(C22),ROW(),0)</f>
        <v>0</v>
      </c>
    </row>
    <row r="23" spans="1:49" x14ac:dyDescent="0.15">
      <c r="A23" s="157"/>
      <c r="B23" s="158"/>
      <c r="C23" s="158"/>
      <c r="D23" s="149" t="str">
        <f t="shared" si="0"/>
        <v xml:space="preserve"> </v>
      </c>
      <c r="E23" s="161"/>
      <c r="F23" s="261">
        <v>0</v>
      </c>
      <c r="G23" s="161">
        <v>37</v>
      </c>
      <c r="H23" s="161">
        <v>37</v>
      </c>
      <c r="I23" s="161"/>
      <c r="J23" s="163"/>
      <c r="K23" s="161"/>
      <c r="L23" s="163"/>
      <c r="M23" s="150"/>
      <c r="N23" s="150"/>
      <c r="O23" s="150"/>
      <c r="P23" s="150"/>
      <c r="Q23" s="151"/>
      <c r="R23" s="151"/>
      <c r="S23" s="152"/>
      <c r="V23" s="129">
        <f t="shared" si="7"/>
        <v>0</v>
      </c>
      <c r="W23" s="129">
        <f t="shared" si="8"/>
        <v>0</v>
      </c>
      <c r="X23" s="129">
        <f t="shared" si="9"/>
        <v>0</v>
      </c>
      <c r="Y23" s="129">
        <f t="shared" si="10"/>
        <v>65.337800000000001</v>
      </c>
      <c r="Z23" s="153">
        <f t="shared" si="1"/>
        <v>0</v>
      </c>
      <c r="AA23" s="248">
        <f t="shared" si="2"/>
        <v>0</v>
      </c>
      <c r="AB23" s="153">
        <f t="shared" si="11"/>
        <v>0</v>
      </c>
      <c r="AC23" s="248">
        <f t="shared" si="3"/>
        <v>0</v>
      </c>
      <c r="AD23" s="153">
        <f t="shared" si="4"/>
        <v>0</v>
      </c>
      <c r="AE23" s="248">
        <f t="shared" si="5"/>
        <v>0</v>
      </c>
      <c r="AF23" s="153">
        <f t="shared" si="12"/>
        <v>0</v>
      </c>
      <c r="AG23" s="248">
        <f t="shared" si="6"/>
        <v>0</v>
      </c>
      <c r="AH23" s="153">
        <f t="shared" si="13"/>
        <v>0</v>
      </c>
      <c r="AI23" s="153"/>
      <c r="AJ23" s="153">
        <f t="shared" si="14"/>
        <v>0</v>
      </c>
      <c r="AK23" s="153">
        <f t="shared" si="15"/>
        <v>0</v>
      </c>
      <c r="AL23" s="153"/>
      <c r="AM23" s="153"/>
      <c r="AN23" s="153"/>
      <c r="AQ23" s="153"/>
      <c r="AW23" s="129">
        <f t="shared" si="16"/>
        <v>0</v>
      </c>
    </row>
    <row r="24" spans="1:49" ht="9.75" thickBot="1" x14ac:dyDescent="0.2">
      <c r="A24" s="159"/>
      <c r="B24" s="160"/>
      <c r="C24" s="160"/>
      <c r="D24" s="154" t="str">
        <f t="shared" si="0"/>
        <v xml:space="preserve"> </v>
      </c>
      <c r="E24" s="162"/>
      <c r="F24" s="262">
        <v>0</v>
      </c>
      <c r="G24" s="162">
        <v>37</v>
      </c>
      <c r="H24" s="162">
        <v>37</v>
      </c>
      <c r="I24" s="162"/>
      <c r="J24" s="164"/>
      <c r="K24" s="162"/>
      <c r="L24" s="164"/>
      <c r="M24" s="164"/>
      <c r="N24" s="162"/>
      <c r="O24" s="162"/>
      <c r="P24" s="162"/>
      <c r="Q24" s="155">
        <f>AS24</f>
        <v>0</v>
      </c>
      <c r="R24" s="155">
        <f>AT24</f>
        <v>0</v>
      </c>
      <c r="S24" s="156">
        <f>AU24</f>
        <v>0</v>
      </c>
      <c r="U24" s="129">
        <f>IF(OR(C23=5,C24=5),0,1)</f>
        <v>1</v>
      </c>
      <c r="V24" s="129">
        <f t="shared" si="7"/>
        <v>0</v>
      </c>
      <c r="W24" s="129">
        <f t="shared" si="8"/>
        <v>0</v>
      </c>
      <c r="X24" s="129">
        <f t="shared" si="9"/>
        <v>0</v>
      </c>
      <c r="Y24" s="129">
        <f t="shared" si="10"/>
        <v>65.337800000000001</v>
      </c>
      <c r="Z24" s="153">
        <f t="shared" si="1"/>
        <v>0</v>
      </c>
      <c r="AA24" s="248">
        <f t="shared" si="2"/>
        <v>0</v>
      </c>
      <c r="AB24" s="153">
        <f t="shared" si="11"/>
        <v>0</v>
      </c>
      <c r="AC24" s="248">
        <f t="shared" si="3"/>
        <v>0</v>
      </c>
      <c r="AD24" s="153">
        <f t="shared" si="4"/>
        <v>0</v>
      </c>
      <c r="AE24" s="248">
        <f t="shared" si="5"/>
        <v>0</v>
      </c>
      <c r="AF24" s="153">
        <f t="shared" si="12"/>
        <v>0</v>
      </c>
      <c r="AG24" s="248">
        <f t="shared" si="6"/>
        <v>0</v>
      </c>
      <c r="AH24" s="153">
        <f t="shared" si="13"/>
        <v>0</v>
      </c>
      <c r="AI24" s="153"/>
      <c r="AJ24" s="153">
        <f t="shared" si="14"/>
        <v>0</v>
      </c>
      <c r="AK24" s="153">
        <f t="shared" si="15"/>
        <v>0</v>
      </c>
      <c r="AL24" s="153"/>
      <c r="AM24" s="153">
        <f>AK23*W23+AK24*W24</f>
        <v>0</v>
      </c>
      <c r="AN24" s="153">
        <f>(SUM(AD23:AG23)*W23+SUM(AD24:AG24)*W24)*12*VLOOKUP(C24,JNovergang,3,1)</f>
        <v>0</v>
      </c>
      <c r="AO24" s="153">
        <f>AM24-AN24</f>
        <v>0</v>
      </c>
      <c r="AP24" s="153">
        <f>M24*(100+X24)%</f>
        <v>0</v>
      </c>
      <c r="AQ24" s="248">
        <f>ROUND(M24*F24,2)</f>
        <v>0</v>
      </c>
      <c r="AS24" s="248">
        <f>ROUND((AP24+AQ24)+AM24*(N24/12),0)</f>
        <v>0</v>
      </c>
      <c r="AT24" s="248">
        <f>ROUND(AM24*(O24/12),0)</f>
        <v>0</v>
      </c>
      <c r="AU24" s="248">
        <f>ROUND(AM24*(P24/12)*U24,0)</f>
        <v>0</v>
      </c>
      <c r="AW24" s="129">
        <f t="shared" si="16"/>
        <v>0</v>
      </c>
    </row>
    <row r="25" spans="1:49" x14ac:dyDescent="0.15">
      <c r="A25" s="157"/>
      <c r="B25" s="158"/>
      <c r="C25" s="158"/>
      <c r="D25" s="149" t="str">
        <f t="shared" si="0"/>
        <v xml:space="preserve"> </v>
      </c>
      <c r="E25" s="161"/>
      <c r="F25" s="261">
        <v>0</v>
      </c>
      <c r="G25" s="161">
        <v>37</v>
      </c>
      <c r="H25" s="161">
        <v>37</v>
      </c>
      <c r="I25" s="161"/>
      <c r="J25" s="163"/>
      <c r="K25" s="161"/>
      <c r="L25" s="163"/>
      <c r="M25" s="150"/>
      <c r="N25" s="150"/>
      <c r="O25" s="150"/>
      <c r="P25" s="150"/>
      <c r="Q25" s="151"/>
      <c r="R25" s="151"/>
      <c r="S25" s="152"/>
      <c r="V25" s="129">
        <f t="shared" si="7"/>
        <v>0</v>
      </c>
      <c r="W25" s="129">
        <f t="shared" si="8"/>
        <v>0</v>
      </c>
      <c r="X25" s="129">
        <f t="shared" si="9"/>
        <v>0</v>
      </c>
      <c r="Y25" s="129">
        <f t="shared" si="10"/>
        <v>65.337800000000001</v>
      </c>
      <c r="Z25" s="153">
        <f t="shared" si="1"/>
        <v>0</v>
      </c>
      <c r="AA25" s="248">
        <f t="shared" si="2"/>
        <v>0</v>
      </c>
      <c r="AB25" s="153">
        <f t="shared" si="11"/>
        <v>0</v>
      </c>
      <c r="AC25" s="248">
        <f t="shared" si="3"/>
        <v>0</v>
      </c>
      <c r="AD25" s="153">
        <f t="shared" si="4"/>
        <v>0</v>
      </c>
      <c r="AE25" s="248">
        <f t="shared" si="5"/>
        <v>0</v>
      </c>
      <c r="AF25" s="153">
        <f t="shared" si="12"/>
        <v>0</v>
      </c>
      <c r="AG25" s="248">
        <f t="shared" si="6"/>
        <v>0</v>
      </c>
      <c r="AH25" s="153">
        <f t="shared" si="13"/>
        <v>0</v>
      </c>
      <c r="AI25" s="153"/>
      <c r="AJ25" s="153">
        <f t="shared" si="14"/>
        <v>0</v>
      </c>
      <c r="AK25" s="153">
        <f t="shared" si="15"/>
        <v>0</v>
      </c>
      <c r="AL25" s="153"/>
      <c r="AM25" s="153"/>
      <c r="AN25" s="153"/>
      <c r="AQ25" s="153"/>
      <c r="AW25" s="129">
        <f t="shared" si="16"/>
        <v>0</v>
      </c>
    </row>
    <row r="26" spans="1:49" ht="9.75" thickBot="1" x14ac:dyDescent="0.2">
      <c r="A26" s="159"/>
      <c r="B26" s="160"/>
      <c r="C26" s="160"/>
      <c r="D26" s="154" t="str">
        <f t="shared" si="0"/>
        <v xml:space="preserve"> </v>
      </c>
      <c r="E26" s="162"/>
      <c r="F26" s="262">
        <v>0</v>
      </c>
      <c r="G26" s="162">
        <v>37</v>
      </c>
      <c r="H26" s="162">
        <v>37</v>
      </c>
      <c r="I26" s="162"/>
      <c r="J26" s="164"/>
      <c r="K26" s="162"/>
      <c r="L26" s="164"/>
      <c r="M26" s="164"/>
      <c r="N26" s="162"/>
      <c r="O26" s="162"/>
      <c r="P26" s="162"/>
      <c r="Q26" s="155">
        <f>AS26</f>
        <v>0</v>
      </c>
      <c r="R26" s="155">
        <f>AT26</f>
        <v>0</v>
      </c>
      <c r="S26" s="156">
        <f>AU26</f>
        <v>0</v>
      </c>
      <c r="U26" s="129">
        <f>IF(OR(C25=5,C26=5),0,1)</f>
        <v>1</v>
      </c>
      <c r="V26" s="129">
        <f t="shared" si="7"/>
        <v>0</v>
      </c>
      <c r="W26" s="129">
        <f t="shared" si="8"/>
        <v>0</v>
      </c>
      <c r="X26" s="129">
        <f t="shared" si="9"/>
        <v>0</v>
      </c>
      <c r="Y26" s="129">
        <f t="shared" si="10"/>
        <v>65.337800000000001</v>
      </c>
      <c r="Z26" s="153">
        <f t="shared" si="1"/>
        <v>0</v>
      </c>
      <c r="AA26" s="248">
        <f t="shared" si="2"/>
        <v>0</v>
      </c>
      <c r="AB26" s="153">
        <f t="shared" si="11"/>
        <v>0</v>
      </c>
      <c r="AC26" s="248">
        <f t="shared" si="3"/>
        <v>0</v>
      </c>
      <c r="AD26" s="153">
        <f t="shared" si="4"/>
        <v>0</v>
      </c>
      <c r="AE26" s="248">
        <f t="shared" si="5"/>
        <v>0</v>
      </c>
      <c r="AF26" s="153">
        <f t="shared" si="12"/>
        <v>0</v>
      </c>
      <c r="AG26" s="248">
        <f t="shared" si="6"/>
        <v>0</v>
      </c>
      <c r="AH26" s="153">
        <f t="shared" si="13"/>
        <v>0</v>
      </c>
      <c r="AI26" s="153"/>
      <c r="AJ26" s="153">
        <f t="shared" si="14"/>
        <v>0</v>
      </c>
      <c r="AK26" s="153">
        <f t="shared" si="15"/>
        <v>0</v>
      </c>
      <c r="AL26" s="153"/>
      <c r="AM26" s="153">
        <f>AK25*W25+AK26*W26</f>
        <v>0</v>
      </c>
      <c r="AN26" s="153">
        <f>(SUM(AD25:AG25)*W25+SUM(AD26:AG26)*W26)*12*VLOOKUP(C26,JNovergang,3,1)</f>
        <v>0</v>
      </c>
      <c r="AO26" s="153">
        <f>AM26-AN26</f>
        <v>0</v>
      </c>
      <c r="AP26" s="153">
        <f>M26*(100+X26)%</f>
        <v>0</v>
      </c>
      <c r="AQ26" s="248">
        <f>ROUND(M26*F26,2)</f>
        <v>0</v>
      </c>
      <c r="AS26" s="248">
        <f>ROUND((AP26+AQ26)+AM26*(N26/12),0)</f>
        <v>0</v>
      </c>
      <c r="AT26" s="248">
        <f>ROUND(AM26*(O26/12),0)</f>
        <v>0</v>
      </c>
      <c r="AU26" s="248">
        <f>ROUND(AM26*(P26/12)*U26,0)</f>
        <v>0</v>
      </c>
      <c r="AW26" s="129">
        <f t="shared" si="16"/>
        <v>0</v>
      </c>
    </row>
    <row r="27" spans="1:49" x14ac:dyDescent="0.15">
      <c r="A27" s="157"/>
      <c r="B27" s="158"/>
      <c r="C27" s="158"/>
      <c r="D27" s="149" t="str">
        <f t="shared" si="0"/>
        <v xml:space="preserve"> </v>
      </c>
      <c r="E27" s="161"/>
      <c r="F27" s="261">
        <v>0</v>
      </c>
      <c r="G27" s="161">
        <v>37</v>
      </c>
      <c r="H27" s="161">
        <v>37</v>
      </c>
      <c r="I27" s="161"/>
      <c r="J27" s="163"/>
      <c r="K27" s="161"/>
      <c r="L27" s="163"/>
      <c r="M27" s="150"/>
      <c r="N27" s="150"/>
      <c r="O27" s="150"/>
      <c r="P27" s="150"/>
      <c r="Q27" s="151"/>
      <c r="R27" s="151"/>
      <c r="S27" s="152"/>
      <c r="V27" s="129">
        <f t="shared" si="7"/>
        <v>0</v>
      </c>
      <c r="W27" s="129">
        <f t="shared" si="8"/>
        <v>0</v>
      </c>
      <c r="X27" s="129">
        <f t="shared" si="9"/>
        <v>0</v>
      </c>
      <c r="Y27" s="129">
        <f t="shared" si="10"/>
        <v>65.337800000000001</v>
      </c>
      <c r="Z27" s="153">
        <f t="shared" si="1"/>
        <v>0</v>
      </c>
      <c r="AA27" s="248">
        <f t="shared" si="2"/>
        <v>0</v>
      </c>
      <c r="AB27" s="153">
        <f t="shared" si="11"/>
        <v>0</v>
      </c>
      <c r="AC27" s="248">
        <f t="shared" si="3"/>
        <v>0</v>
      </c>
      <c r="AD27" s="153">
        <f t="shared" si="4"/>
        <v>0</v>
      </c>
      <c r="AE27" s="248">
        <f t="shared" si="5"/>
        <v>0</v>
      </c>
      <c r="AF27" s="153">
        <f t="shared" si="12"/>
        <v>0</v>
      </c>
      <c r="AG27" s="248">
        <f t="shared" si="6"/>
        <v>0</v>
      </c>
      <c r="AH27" s="153">
        <f t="shared" si="13"/>
        <v>0</v>
      </c>
      <c r="AI27" s="153"/>
      <c r="AJ27" s="153">
        <f t="shared" si="14"/>
        <v>0</v>
      </c>
      <c r="AK27" s="153">
        <f t="shared" si="15"/>
        <v>0</v>
      </c>
      <c r="AL27" s="153"/>
      <c r="AM27" s="153"/>
      <c r="AN27" s="153"/>
      <c r="AQ27" s="153"/>
      <c r="AW27" s="129">
        <f t="shared" si="16"/>
        <v>0</v>
      </c>
    </row>
    <row r="28" spans="1:49" ht="9.75" thickBot="1" x14ac:dyDescent="0.2">
      <c r="A28" s="159"/>
      <c r="B28" s="160"/>
      <c r="C28" s="160"/>
      <c r="D28" s="154" t="str">
        <f t="shared" si="0"/>
        <v xml:space="preserve"> </v>
      </c>
      <c r="E28" s="162"/>
      <c r="F28" s="262">
        <v>0</v>
      </c>
      <c r="G28" s="162">
        <v>37</v>
      </c>
      <c r="H28" s="162">
        <v>37</v>
      </c>
      <c r="I28" s="162"/>
      <c r="J28" s="164"/>
      <c r="K28" s="162"/>
      <c r="L28" s="164"/>
      <c r="M28" s="164"/>
      <c r="N28" s="162"/>
      <c r="O28" s="162"/>
      <c r="P28" s="162"/>
      <c r="Q28" s="155">
        <f>AS28</f>
        <v>0</v>
      </c>
      <c r="R28" s="155">
        <f>AT28</f>
        <v>0</v>
      </c>
      <c r="S28" s="156">
        <f>AU28</f>
        <v>0</v>
      </c>
      <c r="U28" s="129">
        <f>IF(OR(C27=5,C28=5),0,1)</f>
        <v>1</v>
      </c>
      <c r="V28" s="129">
        <f t="shared" si="7"/>
        <v>0</v>
      </c>
      <c r="W28" s="129">
        <f t="shared" si="8"/>
        <v>0</v>
      </c>
      <c r="X28" s="129">
        <f t="shared" si="9"/>
        <v>0</v>
      </c>
      <c r="Y28" s="129">
        <f t="shared" si="10"/>
        <v>65.337800000000001</v>
      </c>
      <c r="Z28" s="153">
        <f t="shared" si="1"/>
        <v>0</v>
      </c>
      <c r="AA28" s="248">
        <f t="shared" si="2"/>
        <v>0</v>
      </c>
      <c r="AB28" s="153">
        <f t="shared" si="11"/>
        <v>0</v>
      </c>
      <c r="AC28" s="248">
        <f t="shared" si="3"/>
        <v>0</v>
      </c>
      <c r="AD28" s="153">
        <f t="shared" si="4"/>
        <v>0</v>
      </c>
      <c r="AE28" s="248">
        <f t="shared" si="5"/>
        <v>0</v>
      </c>
      <c r="AF28" s="153">
        <f t="shared" si="12"/>
        <v>0</v>
      </c>
      <c r="AG28" s="248">
        <f t="shared" si="6"/>
        <v>0</v>
      </c>
      <c r="AH28" s="153">
        <f t="shared" si="13"/>
        <v>0</v>
      </c>
      <c r="AI28" s="153"/>
      <c r="AJ28" s="153">
        <f t="shared" si="14"/>
        <v>0</v>
      </c>
      <c r="AK28" s="153">
        <f t="shared" si="15"/>
        <v>0</v>
      </c>
      <c r="AL28" s="153"/>
      <c r="AM28" s="153">
        <f>AK27*W27+AK28*W28</f>
        <v>0</v>
      </c>
      <c r="AN28" s="153">
        <f>(SUM(AD27:AG27)*W27+SUM(AD28:AG28)*W28)*12*VLOOKUP(C28,JNovergang,3,1)</f>
        <v>0</v>
      </c>
      <c r="AO28" s="153">
        <f>AM28-AN28</f>
        <v>0</v>
      </c>
      <c r="AP28" s="153">
        <f>M28*(100+X28)%</f>
        <v>0</v>
      </c>
      <c r="AQ28" s="248">
        <f>ROUND(M28*F28,2)</f>
        <v>0</v>
      </c>
      <c r="AS28" s="248">
        <f>ROUND((AP28+AQ28)+AM28*(N28/12),0)</f>
        <v>0</v>
      </c>
      <c r="AT28" s="248">
        <f>ROUND(AM28*(O28/12),0)</f>
        <v>0</v>
      </c>
      <c r="AU28" s="248">
        <f>ROUND(AM28*(P28/12)*U28,0)</f>
        <v>0</v>
      </c>
      <c r="AW28" s="129">
        <f t="shared" si="16"/>
        <v>0</v>
      </c>
    </row>
    <row r="29" spans="1:49" x14ac:dyDescent="0.15">
      <c r="A29" s="157"/>
      <c r="B29" s="158"/>
      <c r="C29" s="158"/>
      <c r="D29" s="149" t="str">
        <f t="shared" si="0"/>
        <v xml:space="preserve"> </v>
      </c>
      <c r="E29" s="161"/>
      <c r="F29" s="261">
        <v>0</v>
      </c>
      <c r="G29" s="161">
        <v>37</v>
      </c>
      <c r="H29" s="161">
        <v>37</v>
      </c>
      <c r="I29" s="161"/>
      <c r="J29" s="163"/>
      <c r="K29" s="161"/>
      <c r="L29" s="163"/>
      <c r="M29" s="150"/>
      <c r="N29" s="150"/>
      <c r="O29" s="150"/>
      <c r="P29" s="150"/>
      <c r="Q29" s="151"/>
      <c r="R29" s="151"/>
      <c r="S29" s="152"/>
      <c r="V29" s="129">
        <f t="shared" si="7"/>
        <v>0</v>
      </c>
      <c r="W29" s="129">
        <f t="shared" si="8"/>
        <v>0</v>
      </c>
      <c r="X29" s="129">
        <f t="shared" si="9"/>
        <v>0</v>
      </c>
      <c r="Y29" s="129">
        <f t="shared" si="10"/>
        <v>65.337800000000001</v>
      </c>
      <c r="Z29" s="153">
        <f t="shared" si="1"/>
        <v>0</v>
      </c>
      <c r="AA29" s="248">
        <f t="shared" si="2"/>
        <v>0</v>
      </c>
      <c r="AB29" s="153">
        <f t="shared" si="11"/>
        <v>0</v>
      </c>
      <c r="AC29" s="248">
        <f t="shared" si="3"/>
        <v>0</v>
      </c>
      <c r="AD29" s="153">
        <f t="shared" si="4"/>
        <v>0</v>
      </c>
      <c r="AE29" s="248">
        <f t="shared" si="5"/>
        <v>0</v>
      </c>
      <c r="AF29" s="153">
        <f t="shared" si="12"/>
        <v>0</v>
      </c>
      <c r="AG29" s="248">
        <f t="shared" si="6"/>
        <v>0</v>
      </c>
      <c r="AH29" s="153">
        <f t="shared" si="13"/>
        <v>0</v>
      </c>
      <c r="AI29" s="153"/>
      <c r="AJ29" s="153">
        <f t="shared" si="14"/>
        <v>0</v>
      </c>
      <c r="AK29" s="153">
        <f t="shared" si="15"/>
        <v>0</v>
      </c>
      <c r="AL29" s="153"/>
      <c r="AM29" s="153"/>
      <c r="AN29" s="153"/>
      <c r="AQ29" s="153"/>
      <c r="AW29" s="129">
        <f t="shared" si="16"/>
        <v>0</v>
      </c>
    </row>
    <row r="30" spans="1:49" ht="9.75" thickBot="1" x14ac:dyDescent="0.2">
      <c r="A30" s="159"/>
      <c r="B30" s="160"/>
      <c r="C30" s="160"/>
      <c r="D30" s="154" t="str">
        <f t="shared" si="0"/>
        <v xml:space="preserve"> </v>
      </c>
      <c r="E30" s="162"/>
      <c r="F30" s="262">
        <v>0</v>
      </c>
      <c r="G30" s="162">
        <v>37</v>
      </c>
      <c r="H30" s="162">
        <v>37</v>
      </c>
      <c r="I30" s="162"/>
      <c r="J30" s="164"/>
      <c r="K30" s="162"/>
      <c r="L30" s="164"/>
      <c r="M30" s="164"/>
      <c r="N30" s="162"/>
      <c r="O30" s="162"/>
      <c r="P30" s="162"/>
      <c r="Q30" s="155">
        <f>AS30</f>
        <v>0</v>
      </c>
      <c r="R30" s="155">
        <f>AT30</f>
        <v>0</v>
      </c>
      <c r="S30" s="156">
        <f>AU30</f>
        <v>0</v>
      </c>
      <c r="U30" s="129">
        <f>IF(OR(C29=5,C30=5),0,1)</f>
        <v>1</v>
      </c>
      <c r="V30" s="129">
        <f t="shared" si="7"/>
        <v>0</v>
      </c>
      <c r="W30" s="129">
        <f t="shared" si="8"/>
        <v>0</v>
      </c>
      <c r="X30" s="129">
        <f t="shared" si="9"/>
        <v>0</v>
      </c>
      <c r="Y30" s="129">
        <f t="shared" si="10"/>
        <v>65.337800000000001</v>
      </c>
      <c r="Z30" s="153">
        <f t="shared" si="1"/>
        <v>0</v>
      </c>
      <c r="AA30" s="248">
        <f t="shared" si="2"/>
        <v>0</v>
      </c>
      <c r="AB30" s="153">
        <f t="shared" si="11"/>
        <v>0</v>
      </c>
      <c r="AC30" s="248">
        <f t="shared" si="3"/>
        <v>0</v>
      </c>
      <c r="AD30" s="153">
        <f t="shared" si="4"/>
        <v>0</v>
      </c>
      <c r="AE30" s="248">
        <f t="shared" si="5"/>
        <v>0</v>
      </c>
      <c r="AF30" s="153">
        <f t="shared" si="12"/>
        <v>0</v>
      </c>
      <c r="AG30" s="248">
        <f t="shared" si="6"/>
        <v>0</v>
      </c>
      <c r="AH30" s="153">
        <f t="shared" si="13"/>
        <v>0</v>
      </c>
      <c r="AI30" s="153"/>
      <c r="AJ30" s="153">
        <f t="shared" si="14"/>
        <v>0</v>
      </c>
      <c r="AK30" s="153">
        <f t="shared" si="15"/>
        <v>0</v>
      </c>
      <c r="AL30" s="153"/>
      <c r="AM30" s="153">
        <f>AK29*W29+AK30*W30</f>
        <v>0</v>
      </c>
      <c r="AN30" s="153">
        <f>(SUM(AD29:AG29)*W29+SUM(AD30:AG30)*W30)*12*VLOOKUP(C30,JNovergang,3,1)</f>
        <v>0</v>
      </c>
      <c r="AO30" s="153">
        <f>AM30-AN30</f>
        <v>0</v>
      </c>
      <c r="AP30" s="153">
        <f>M30*(100+X30)%</f>
        <v>0</v>
      </c>
      <c r="AQ30" s="248">
        <f>ROUND(M30*F30,2)</f>
        <v>0</v>
      </c>
      <c r="AS30" s="248">
        <f>ROUND((AP30+AQ30)+AM30*(N30/12),0)</f>
        <v>0</v>
      </c>
      <c r="AT30" s="248">
        <f>ROUND(AM30*(O30/12),0)</f>
        <v>0</v>
      </c>
      <c r="AU30" s="248">
        <f>ROUND(AM30*(P30/12)*U30,0)</f>
        <v>0</v>
      </c>
      <c r="AW30" s="129">
        <f t="shared" si="16"/>
        <v>0</v>
      </c>
    </row>
    <row r="31" spans="1:49" x14ac:dyDescent="0.15">
      <c r="A31" s="157"/>
      <c r="B31" s="158"/>
      <c r="C31" s="158"/>
      <c r="D31" s="149" t="str">
        <f t="shared" si="0"/>
        <v xml:space="preserve"> </v>
      </c>
      <c r="E31" s="161"/>
      <c r="F31" s="261">
        <v>0</v>
      </c>
      <c r="G31" s="161">
        <v>37</v>
      </c>
      <c r="H31" s="161">
        <v>37</v>
      </c>
      <c r="I31" s="161"/>
      <c r="J31" s="163"/>
      <c r="K31" s="161"/>
      <c r="L31" s="163"/>
      <c r="M31" s="150"/>
      <c r="N31" s="150"/>
      <c r="O31" s="150"/>
      <c r="P31" s="150"/>
      <c r="Q31" s="151"/>
      <c r="R31" s="151"/>
      <c r="S31" s="152"/>
      <c r="V31" s="129">
        <f t="shared" si="7"/>
        <v>0</v>
      </c>
      <c r="W31" s="129">
        <f t="shared" si="8"/>
        <v>0</v>
      </c>
      <c r="X31" s="129">
        <f t="shared" si="9"/>
        <v>0</v>
      </c>
      <c r="Y31" s="129">
        <f t="shared" si="10"/>
        <v>65.337800000000001</v>
      </c>
      <c r="Z31" s="153">
        <f t="shared" si="1"/>
        <v>0</v>
      </c>
      <c r="AA31" s="248">
        <f t="shared" si="2"/>
        <v>0</v>
      </c>
      <c r="AB31" s="153">
        <f t="shared" si="11"/>
        <v>0</v>
      </c>
      <c r="AC31" s="248">
        <f t="shared" si="3"/>
        <v>0</v>
      </c>
      <c r="AD31" s="153">
        <f t="shared" si="4"/>
        <v>0</v>
      </c>
      <c r="AE31" s="248">
        <f t="shared" si="5"/>
        <v>0</v>
      </c>
      <c r="AF31" s="153">
        <f t="shared" si="12"/>
        <v>0</v>
      </c>
      <c r="AG31" s="248">
        <f t="shared" si="6"/>
        <v>0</v>
      </c>
      <c r="AH31" s="153">
        <f t="shared" si="13"/>
        <v>0</v>
      </c>
      <c r="AI31" s="153"/>
      <c r="AJ31" s="153">
        <f t="shared" si="14"/>
        <v>0</v>
      </c>
      <c r="AK31" s="153">
        <f t="shared" si="15"/>
        <v>0</v>
      </c>
      <c r="AL31" s="153"/>
      <c r="AM31" s="153"/>
      <c r="AN31" s="153"/>
      <c r="AQ31" s="153"/>
      <c r="AW31" s="129">
        <f t="shared" si="16"/>
        <v>0</v>
      </c>
    </row>
    <row r="32" spans="1:49" ht="9.75" thickBot="1" x14ac:dyDescent="0.2">
      <c r="A32" s="159"/>
      <c r="B32" s="160"/>
      <c r="C32" s="160"/>
      <c r="D32" s="154" t="str">
        <f t="shared" si="0"/>
        <v xml:space="preserve"> </v>
      </c>
      <c r="E32" s="162"/>
      <c r="F32" s="262">
        <v>0</v>
      </c>
      <c r="G32" s="162">
        <v>37</v>
      </c>
      <c r="H32" s="162">
        <v>37</v>
      </c>
      <c r="I32" s="162"/>
      <c r="J32" s="164"/>
      <c r="K32" s="162"/>
      <c r="L32" s="164"/>
      <c r="M32" s="164"/>
      <c r="N32" s="162"/>
      <c r="O32" s="162"/>
      <c r="P32" s="162"/>
      <c r="Q32" s="155">
        <f>AS32</f>
        <v>0</v>
      </c>
      <c r="R32" s="155">
        <f>AT32</f>
        <v>0</v>
      </c>
      <c r="S32" s="156">
        <f>AU32</f>
        <v>0</v>
      </c>
      <c r="U32" s="129">
        <f>IF(OR(C31=5,C32=5),0,1)</f>
        <v>1</v>
      </c>
      <c r="V32" s="129">
        <f t="shared" si="7"/>
        <v>0</v>
      </c>
      <c r="W32" s="129">
        <f t="shared" si="8"/>
        <v>0</v>
      </c>
      <c r="X32" s="129">
        <f t="shared" si="9"/>
        <v>0</v>
      </c>
      <c r="Y32" s="129">
        <f t="shared" si="10"/>
        <v>65.337800000000001</v>
      </c>
      <c r="Z32" s="153">
        <f t="shared" si="1"/>
        <v>0</v>
      </c>
      <c r="AA32" s="248">
        <f t="shared" si="2"/>
        <v>0</v>
      </c>
      <c r="AB32" s="153">
        <f t="shared" si="11"/>
        <v>0</v>
      </c>
      <c r="AC32" s="248">
        <f t="shared" si="3"/>
        <v>0</v>
      </c>
      <c r="AD32" s="153">
        <f t="shared" si="4"/>
        <v>0</v>
      </c>
      <c r="AE32" s="248">
        <f t="shared" si="5"/>
        <v>0</v>
      </c>
      <c r="AF32" s="153">
        <f t="shared" si="12"/>
        <v>0</v>
      </c>
      <c r="AG32" s="248">
        <f t="shared" si="6"/>
        <v>0</v>
      </c>
      <c r="AH32" s="153">
        <f t="shared" si="13"/>
        <v>0</v>
      </c>
      <c r="AI32" s="153"/>
      <c r="AJ32" s="153">
        <f t="shared" si="14"/>
        <v>0</v>
      </c>
      <c r="AK32" s="153">
        <f t="shared" si="15"/>
        <v>0</v>
      </c>
      <c r="AL32" s="153"/>
      <c r="AM32" s="153">
        <f>AK31*W31+AK32*W32</f>
        <v>0</v>
      </c>
      <c r="AN32" s="153">
        <f>(SUM(AD31:AG31)*W31+SUM(AD32:AG32)*W32)*12*VLOOKUP(C32,JNovergang,3,1)</f>
        <v>0</v>
      </c>
      <c r="AO32" s="153">
        <f>AM32-AN32</f>
        <v>0</v>
      </c>
      <c r="AP32" s="153">
        <f>M32*(100+X32)%</f>
        <v>0</v>
      </c>
      <c r="AQ32" s="248">
        <f>ROUND(M32*F32,2)</f>
        <v>0</v>
      </c>
      <c r="AS32" s="248">
        <f>ROUND((AP32+AQ32)+AM32*(N32/12),0)</f>
        <v>0</v>
      </c>
      <c r="AT32" s="248">
        <f>ROUND(AM32*(O32/12),0)</f>
        <v>0</v>
      </c>
      <c r="AU32" s="248">
        <f>ROUND(AM32*(P32/12)*U32,0)</f>
        <v>0</v>
      </c>
      <c r="AW32" s="129">
        <f t="shared" si="16"/>
        <v>0</v>
      </c>
    </row>
    <row r="33" spans="1:49" x14ac:dyDescent="0.15">
      <c r="A33" s="157"/>
      <c r="B33" s="158"/>
      <c r="C33" s="158"/>
      <c r="D33" s="149" t="str">
        <f t="shared" si="0"/>
        <v xml:space="preserve"> </v>
      </c>
      <c r="E33" s="161"/>
      <c r="F33" s="261">
        <v>0</v>
      </c>
      <c r="G33" s="161">
        <v>37</v>
      </c>
      <c r="H33" s="161">
        <v>37</v>
      </c>
      <c r="I33" s="161"/>
      <c r="J33" s="163"/>
      <c r="K33" s="161"/>
      <c r="L33" s="163"/>
      <c r="M33" s="150"/>
      <c r="N33" s="150"/>
      <c r="O33" s="150"/>
      <c r="P33" s="150"/>
      <c r="Q33" s="151"/>
      <c r="R33" s="151"/>
      <c r="S33" s="152"/>
      <c r="V33" s="129">
        <f t="shared" si="7"/>
        <v>0</v>
      </c>
      <c r="W33" s="129">
        <f t="shared" si="8"/>
        <v>0</v>
      </c>
      <c r="X33" s="129">
        <f t="shared" si="9"/>
        <v>0</v>
      </c>
      <c r="Y33" s="129">
        <f t="shared" si="10"/>
        <v>65.337800000000001</v>
      </c>
      <c r="Z33" s="153">
        <f t="shared" si="1"/>
        <v>0</v>
      </c>
      <c r="AA33" s="248">
        <f t="shared" si="2"/>
        <v>0</v>
      </c>
      <c r="AB33" s="153">
        <f t="shared" si="11"/>
        <v>0</v>
      </c>
      <c r="AC33" s="248">
        <f t="shared" si="3"/>
        <v>0</v>
      </c>
      <c r="AD33" s="153">
        <f t="shared" si="4"/>
        <v>0</v>
      </c>
      <c r="AE33" s="248">
        <f t="shared" si="5"/>
        <v>0</v>
      </c>
      <c r="AF33" s="153">
        <f t="shared" si="12"/>
        <v>0</v>
      </c>
      <c r="AG33" s="248">
        <f t="shared" si="6"/>
        <v>0</v>
      </c>
      <c r="AH33" s="153">
        <f t="shared" si="13"/>
        <v>0</v>
      </c>
      <c r="AI33" s="153"/>
      <c r="AJ33" s="153">
        <f t="shared" si="14"/>
        <v>0</v>
      </c>
      <c r="AK33" s="153">
        <f t="shared" si="15"/>
        <v>0</v>
      </c>
      <c r="AL33" s="153"/>
      <c r="AM33" s="153"/>
      <c r="AN33" s="153"/>
      <c r="AQ33" s="153"/>
      <c r="AW33" s="129">
        <f t="shared" si="16"/>
        <v>0</v>
      </c>
    </row>
    <row r="34" spans="1:49" ht="9.75" thickBot="1" x14ac:dyDescent="0.2">
      <c r="A34" s="159"/>
      <c r="B34" s="160"/>
      <c r="C34" s="160"/>
      <c r="D34" s="154" t="str">
        <f t="shared" si="0"/>
        <v xml:space="preserve"> </v>
      </c>
      <c r="E34" s="162"/>
      <c r="F34" s="262">
        <v>0</v>
      </c>
      <c r="G34" s="162">
        <v>37</v>
      </c>
      <c r="H34" s="162">
        <v>37</v>
      </c>
      <c r="I34" s="162"/>
      <c r="J34" s="164"/>
      <c r="K34" s="162"/>
      <c r="L34" s="164"/>
      <c r="M34" s="164"/>
      <c r="N34" s="162"/>
      <c r="O34" s="162"/>
      <c r="P34" s="162"/>
      <c r="Q34" s="155">
        <f>AS34</f>
        <v>0</v>
      </c>
      <c r="R34" s="155">
        <f>AT34</f>
        <v>0</v>
      </c>
      <c r="S34" s="156">
        <f>AU34</f>
        <v>0</v>
      </c>
      <c r="U34" s="129">
        <f>IF(OR(C33=5,C34=5),0,1)</f>
        <v>1</v>
      </c>
      <c r="V34" s="129">
        <f t="shared" si="7"/>
        <v>0</v>
      </c>
      <c r="W34" s="129">
        <f t="shared" si="8"/>
        <v>0</v>
      </c>
      <c r="X34" s="129">
        <f t="shared" si="9"/>
        <v>0</v>
      </c>
      <c r="Y34" s="129">
        <f t="shared" si="10"/>
        <v>65.337800000000001</v>
      </c>
      <c r="Z34" s="153">
        <f t="shared" si="1"/>
        <v>0</v>
      </c>
      <c r="AA34" s="248">
        <f t="shared" si="2"/>
        <v>0</v>
      </c>
      <c r="AB34" s="153">
        <f t="shared" si="11"/>
        <v>0</v>
      </c>
      <c r="AC34" s="248">
        <f t="shared" si="3"/>
        <v>0</v>
      </c>
      <c r="AD34" s="153">
        <f t="shared" si="4"/>
        <v>0</v>
      </c>
      <c r="AE34" s="248">
        <f t="shared" si="5"/>
        <v>0</v>
      </c>
      <c r="AF34" s="153">
        <f t="shared" si="12"/>
        <v>0</v>
      </c>
      <c r="AG34" s="248">
        <f t="shared" si="6"/>
        <v>0</v>
      </c>
      <c r="AH34" s="153">
        <f t="shared" si="13"/>
        <v>0</v>
      </c>
      <c r="AI34" s="153"/>
      <c r="AJ34" s="153">
        <f t="shared" si="14"/>
        <v>0</v>
      </c>
      <c r="AK34" s="153">
        <f t="shared" si="15"/>
        <v>0</v>
      </c>
      <c r="AL34" s="153"/>
      <c r="AM34" s="153">
        <f>AK33*W33+AK34*W34</f>
        <v>0</v>
      </c>
      <c r="AN34" s="153">
        <f>(SUM(AD33:AG33)*W33+SUM(AD34:AG34)*W34)*12*VLOOKUP(C34,JNovergang,3,1)</f>
        <v>0</v>
      </c>
      <c r="AO34" s="153">
        <f>AM34-AN34</f>
        <v>0</v>
      </c>
      <c r="AP34" s="153">
        <f>M34*(100+X34)%</f>
        <v>0</v>
      </c>
      <c r="AQ34" s="248">
        <f>ROUND(M34*F34,2)</f>
        <v>0</v>
      </c>
      <c r="AS34" s="248">
        <f>ROUND((AP34+AQ34)+AM34*(N34/12),0)</f>
        <v>0</v>
      </c>
      <c r="AT34" s="248">
        <f>ROUND(AM34*(O34/12),0)</f>
        <v>0</v>
      </c>
      <c r="AU34" s="248">
        <f>ROUND(AM34*(P34/12)*U34,0)</f>
        <v>0</v>
      </c>
      <c r="AW34" s="129">
        <f t="shared" si="16"/>
        <v>0</v>
      </c>
    </row>
    <row r="35" spans="1:49" x14ac:dyDescent="0.15">
      <c r="A35" s="157"/>
      <c r="B35" s="158"/>
      <c r="C35" s="158"/>
      <c r="D35" s="149" t="str">
        <f t="shared" si="0"/>
        <v xml:space="preserve"> </v>
      </c>
      <c r="E35" s="161"/>
      <c r="F35" s="261">
        <v>0</v>
      </c>
      <c r="G35" s="161">
        <v>37</v>
      </c>
      <c r="H35" s="161">
        <v>37</v>
      </c>
      <c r="I35" s="161"/>
      <c r="J35" s="163"/>
      <c r="K35" s="161"/>
      <c r="L35" s="163"/>
      <c r="M35" s="150"/>
      <c r="N35" s="150"/>
      <c r="O35" s="150"/>
      <c r="P35" s="150"/>
      <c r="Q35" s="151"/>
      <c r="R35" s="151"/>
      <c r="S35" s="152"/>
      <c r="V35" s="129">
        <f t="shared" si="7"/>
        <v>0</v>
      </c>
      <c r="W35" s="129">
        <f t="shared" si="8"/>
        <v>0</v>
      </c>
      <c r="X35" s="129">
        <f t="shared" si="9"/>
        <v>0</v>
      </c>
      <c r="Y35" s="129">
        <f t="shared" si="10"/>
        <v>65.337800000000001</v>
      </c>
      <c r="Z35" s="153">
        <f t="shared" si="1"/>
        <v>0</v>
      </c>
      <c r="AA35" s="248">
        <f t="shared" si="2"/>
        <v>0</v>
      </c>
      <c r="AB35" s="153">
        <f t="shared" si="11"/>
        <v>0</v>
      </c>
      <c r="AC35" s="248">
        <f t="shared" si="3"/>
        <v>0</v>
      </c>
      <c r="AD35" s="153">
        <f t="shared" si="4"/>
        <v>0</v>
      </c>
      <c r="AE35" s="248">
        <f t="shared" si="5"/>
        <v>0</v>
      </c>
      <c r="AF35" s="153">
        <f t="shared" si="12"/>
        <v>0</v>
      </c>
      <c r="AG35" s="248">
        <f t="shared" si="6"/>
        <v>0</v>
      </c>
      <c r="AH35" s="153">
        <f t="shared" si="13"/>
        <v>0</v>
      </c>
      <c r="AI35" s="153"/>
      <c r="AJ35" s="153">
        <f t="shared" si="14"/>
        <v>0</v>
      </c>
      <c r="AK35" s="153">
        <f t="shared" si="15"/>
        <v>0</v>
      </c>
      <c r="AL35" s="153"/>
      <c r="AM35" s="153"/>
      <c r="AN35" s="153"/>
      <c r="AQ35" s="153"/>
      <c r="AW35" s="129">
        <f t="shared" si="16"/>
        <v>0</v>
      </c>
    </row>
    <row r="36" spans="1:49" ht="9.75" thickBot="1" x14ac:dyDescent="0.2">
      <c r="A36" s="159"/>
      <c r="B36" s="160"/>
      <c r="C36" s="160"/>
      <c r="D36" s="154" t="str">
        <f t="shared" si="0"/>
        <v xml:space="preserve"> </v>
      </c>
      <c r="E36" s="162"/>
      <c r="F36" s="262">
        <v>0</v>
      </c>
      <c r="G36" s="162">
        <v>37</v>
      </c>
      <c r="H36" s="162">
        <v>37</v>
      </c>
      <c r="I36" s="162"/>
      <c r="J36" s="164"/>
      <c r="K36" s="162"/>
      <c r="L36" s="164"/>
      <c r="M36" s="164"/>
      <c r="N36" s="162"/>
      <c r="O36" s="162"/>
      <c r="P36" s="162"/>
      <c r="Q36" s="155">
        <f>AS36</f>
        <v>0</v>
      </c>
      <c r="R36" s="155">
        <f>AT36</f>
        <v>0</v>
      </c>
      <c r="S36" s="156">
        <f>AU36</f>
        <v>0</v>
      </c>
      <c r="U36" s="129">
        <f>IF(OR(C35=5,C36=5),0,1)</f>
        <v>1</v>
      </c>
      <c r="V36" s="129">
        <f t="shared" si="7"/>
        <v>0</v>
      </c>
      <c r="W36" s="129">
        <f t="shared" si="8"/>
        <v>0</v>
      </c>
      <c r="X36" s="129">
        <f t="shared" si="9"/>
        <v>0</v>
      </c>
      <c r="Y36" s="129">
        <f t="shared" si="10"/>
        <v>65.337800000000001</v>
      </c>
      <c r="Z36" s="153">
        <f t="shared" si="1"/>
        <v>0</v>
      </c>
      <c r="AA36" s="248">
        <f t="shared" si="2"/>
        <v>0</v>
      </c>
      <c r="AB36" s="153">
        <f t="shared" si="11"/>
        <v>0</v>
      </c>
      <c r="AC36" s="248">
        <f t="shared" si="3"/>
        <v>0</v>
      </c>
      <c r="AD36" s="153">
        <f t="shared" si="4"/>
        <v>0</v>
      </c>
      <c r="AE36" s="248">
        <f t="shared" si="5"/>
        <v>0</v>
      </c>
      <c r="AF36" s="153">
        <f t="shared" si="12"/>
        <v>0</v>
      </c>
      <c r="AG36" s="248">
        <f t="shared" si="6"/>
        <v>0</v>
      </c>
      <c r="AH36" s="153">
        <f t="shared" si="13"/>
        <v>0</v>
      </c>
      <c r="AI36" s="153"/>
      <c r="AJ36" s="153">
        <f t="shared" si="14"/>
        <v>0</v>
      </c>
      <c r="AK36" s="153">
        <f t="shared" si="15"/>
        <v>0</v>
      </c>
      <c r="AL36" s="153"/>
      <c r="AM36" s="153">
        <f>AK35*W35+AK36*W36</f>
        <v>0</v>
      </c>
      <c r="AN36" s="153">
        <f>(SUM(AD35:AG35)*W35+SUM(AD36:AG36)*W36)*12*VLOOKUP(C36,JNovergang,3,1)</f>
        <v>0</v>
      </c>
      <c r="AO36" s="153">
        <f>AM36-AN36</f>
        <v>0</v>
      </c>
      <c r="AP36" s="153">
        <f>M36*(100+X36)%</f>
        <v>0</v>
      </c>
      <c r="AQ36" s="248">
        <f>ROUND(M36*F36,2)</f>
        <v>0</v>
      </c>
      <c r="AS36" s="248">
        <f>ROUND((AP36+AQ36)+AM36*(N36/12),0)</f>
        <v>0</v>
      </c>
      <c r="AT36" s="248">
        <f>ROUND(AM36*(O36/12),0)</f>
        <v>0</v>
      </c>
      <c r="AU36" s="248">
        <f>ROUND(AM36*(P36/12)*U36,0)</f>
        <v>0</v>
      </c>
      <c r="AW36" s="129">
        <f t="shared" si="16"/>
        <v>0</v>
      </c>
    </row>
    <row r="37" spans="1:49" x14ac:dyDescent="0.15">
      <c r="A37" s="157"/>
      <c r="B37" s="158"/>
      <c r="C37" s="158"/>
      <c r="D37" s="149" t="str">
        <f t="shared" si="0"/>
        <v xml:space="preserve"> </v>
      </c>
      <c r="E37" s="161"/>
      <c r="F37" s="261">
        <v>0</v>
      </c>
      <c r="G37" s="161">
        <v>37</v>
      </c>
      <c r="H37" s="161">
        <v>37</v>
      </c>
      <c r="I37" s="161"/>
      <c r="J37" s="163"/>
      <c r="K37" s="161"/>
      <c r="L37" s="163"/>
      <c r="M37" s="150"/>
      <c r="N37" s="150"/>
      <c r="O37" s="150"/>
      <c r="P37" s="150"/>
      <c r="Q37" s="151"/>
      <c r="R37" s="151"/>
      <c r="S37" s="152"/>
      <c r="V37" s="129">
        <f t="shared" si="7"/>
        <v>0</v>
      </c>
      <c r="W37" s="129">
        <f t="shared" si="8"/>
        <v>0</v>
      </c>
      <c r="X37" s="129">
        <f t="shared" si="9"/>
        <v>0</v>
      </c>
      <c r="Y37" s="129">
        <f t="shared" si="10"/>
        <v>65.337800000000001</v>
      </c>
      <c r="Z37" s="153">
        <f t="shared" si="1"/>
        <v>0</v>
      </c>
      <c r="AA37" s="248">
        <f t="shared" si="2"/>
        <v>0</v>
      </c>
      <c r="AB37" s="153">
        <f t="shared" si="11"/>
        <v>0</v>
      </c>
      <c r="AC37" s="248">
        <f t="shared" si="3"/>
        <v>0</v>
      </c>
      <c r="AD37" s="153">
        <f t="shared" si="4"/>
        <v>0</v>
      </c>
      <c r="AE37" s="248">
        <f t="shared" si="5"/>
        <v>0</v>
      </c>
      <c r="AF37" s="153">
        <f t="shared" si="12"/>
        <v>0</v>
      </c>
      <c r="AG37" s="248">
        <f t="shared" si="6"/>
        <v>0</v>
      </c>
      <c r="AH37" s="153">
        <f t="shared" si="13"/>
        <v>0</v>
      </c>
      <c r="AI37" s="153"/>
      <c r="AJ37" s="153">
        <f t="shared" si="14"/>
        <v>0</v>
      </c>
      <c r="AK37" s="153">
        <f t="shared" si="15"/>
        <v>0</v>
      </c>
      <c r="AL37" s="153"/>
      <c r="AM37" s="153"/>
      <c r="AN37" s="153"/>
      <c r="AQ37" s="153"/>
      <c r="AW37" s="129">
        <f t="shared" si="16"/>
        <v>0</v>
      </c>
    </row>
    <row r="38" spans="1:49" ht="9.75" thickBot="1" x14ac:dyDescent="0.2">
      <c r="A38" s="159"/>
      <c r="B38" s="160"/>
      <c r="C38" s="160"/>
      <c r="D38" s="154" t="str">
        <f t="shared" si="0"/>
        <v xml:space="preserve"> </v>
      </c>
      <c r="E38" s="162"/>
      <c r="F38" s="262">
        <v>0</v>
      </c>
      <c r="G38" s="162">
        <v>37</v>
      </c>
      <c r="H38" s="162">
        <v>37</v>
      </c>
      <c r="I38" s="162"/>
      <c r="J38" s="164"/>
      <c r="K38" s="162"/>
      <c r="L38" s="164"/>
      <c r="M38" s="164"/>
      <c r="N38" s="162"/>
      <c r="O38" s="162"/>
      <c r="P38" s="162"/>
      <c r="Q38" s="155">
        <f>AS38</f>
        <v>0</v>
      </c>
      <c r="R38" s="155">
        <f>AT38</f>
        <v>0</v>
      </c>
      <c r="S38" s="156">
        <f>AU38</f>
        <v>0</v>
      </c>
      <c r="U38" s="129">
        <f>IF(OR(C37=5,C38=5),0,1)</f>
        <v>1</v>
      </c>
      <c r="V38" s="129">
        <f t="shared" si="7"/>
        <v>0</v>
      </c>
      <c r="W38" s="129">
        <f t="shared" si="8"/>
        <v>0</v>
      </c>
      <c r="X38" s="129">
        <f t="shared" si="9"/>
        <v>0</v>
      </c>
      <c r="Y38" s="129">
        <f t="shared" si="10"/>
        <v>65.337800000000001</v>
      </c>
      <c r="Z38" s="153">
        <f t="shared" si="1"/>
        <v>0</v>
      </c>
      <c r="AA38" s="248">
        <f t="shared" si="2"/>
        <v>0</v>
      </c>
      <c r="AB38" s="153">
        <f t="shared" si="11"/>
        <v>0</v>
      </c>
      <c r="AC38" s="248">
        <f t="shared" si="3"/>
        <v>0</v>
      </c>
      <c r="AD38" s="153">
        <f t="shared" si="4"/>
        <v>0</v>
      </c>
      <c r="AE38" s="248">
        <f t="shared" si="5"/>
        <v>0</v>
      </c>
      <c r="AF38" s="153">
        <f t="shared" si="12"/>
        <v>0</v>
      </c>
      <c r="AG38" s="248">
        <f t="shared" si="6"/>
        <v>0</v>
      </c>
      <c r="AH38" s="153">
        <f t="shared" si="13"/>
        <v>0</v>
      </c>
      <c r="AI38" s="153"/>
      <c r="AJ38" s="153">
        <f t="shared" si="14"/>
        <v>0</v>
      </c>
      <c r="AK38" s="153">
        <f t="shared" si="15"/>
        <v>0</v>
      </c>
      <c r="AL38" s="153"/>
      <c r="AM38" s="153">
        <f>AK37*W37+AK38*W38</f>
        <v>0</v>
      </c>
      <c r="AN38" s="153">
        <f>(SUM(AD37:AG37)*W37+SUM(AD38:AG38)*W38)*12*VLOOKUP(C38,JNovergang,3,1)</f>
        <v>0</v>
      </c>
      <c r="AO38" s="153">
        <f>AM38-AN38</f>
        <v>0</v>
      </c>
      <c r="AP38" s="153">
        <f>M38*(100+X38)%</f>
        <v>0</v>
      </c>
      <c r="AQ38" s="248">
        <f>ROUND(M38*F38,2)</f>
        <v>0</v>
      </c>
      <c r="AS38" s="248">
        <f>ROUND((AP38+AQ38)+AM38*(N38/12),0)</f>
        <v>0</v>
      </c>
      <c r="AT38" s="248">
        <f>ROUND(AM38*(O38/12),0)</f>
        <v>0</v>
      </c>
      <c r="AU38" s="248">
        <f>ROUND(AM38*(P38/12)*U38,0)</f>
        <v>0</v>
      </c>
      <c r="AW38" s="129">
        <f t="shared" si="16"/>
        <v>0</v>
      </c>
    </row>
    <row r="39" spans="1:49" x14ac:dyDescent="0.15">
      <c r="A39" s="157"/>
      <c r="B39" s="158"/>
      <c r="C39" s="158"/>
      <c r="D39" s="149" t="str">
        <f t="shared" si="0"/>
        <v xml:space="preserve"> </v>
      </c>
      <c r="E39" s="161"/>
      <c r="F39" s="261">
        <v>0</v>
      </c>
      <c r="G39" s="161">
        <v>37</v>
      </c>
      <c r="H39" s="161">
        <v>37</v>
      </c>
      <c r="I39" s="161"/>
      <c r="J39" s="163"/>
      <c r="K39" s="161"/>
      <c r="L39" s="163"/>
      <c r="M39" s="150"/>
      <c r="N39" s="150"/>
      <c r="O39" s="150"/>
      <c r="P39" s="150"/>
      <c r="Q39" s="151"/>
      <c r="R39" s="151"/>
      <c r="S39" s="152"/>
      <c r="V39" s="129">
        <f t="shared" si="7"/>
        <v>0</v>
      </c>
      <c r="W39" s="129">
        <f t="shared" si="8"/>
        <v>0</v>
      </c>
      <c r="X39" s="129">
        <f t="shared" si="9"/>
        <v>0</v>
      </c>
      <c r="Y39" s="129">
        <f t="shared" si="10"/>
        <v>65.337800000000001</v>
      </c>
      <c r="Z39" s="153">
        <f t="shared" si="1"/>
        <v>0</v>
      </c>
      <c r="AA39" s="248">
        <f t="shared" si="2"/>
        <v>0</v>
      </c>
      <c r="AB39" s="153">
        <f t="shared" si="11"/>
        <v>0</v>
      </c>
      <c r="AC39" s="248">
        <f t="shared" si="3"/>
        <v>0</v>
      </c>
      <c r="AD39" s="153">
        <f t="shared" si="4"/>
        <v>0</v>
      </c>
      <c r="AE39" s="248">
        <f t="shared" si="5"/>
        <v>0</v>
      </c>
      <c r="AF39" s="153">
        <f t="shared" si="12"/>
        <v>0</v>
      </c>
      <c r="AG39" s="248">
        <f t="shared" si="6"/>
        <v>0</v>
      </c>
      <c r="AH39" s="153">
        <f t="shared" si="13"/>
        <v>0</v>
      </c>
      <c r="AI39" s="153"/>
      <c r="AJ39" s="153">
        <f t="shared" si="14"/>
        <v>0</v>
      </c>
      <c r="AK39" s="153">
        <f t="shared" si="15"/>
        <v>0</v>
      </c>
      <c r="AL39" s="153"/>
      <c r="AM39" s="153"/>
      <c r="AN39" s="153"/>
      <c r="AQ39" s="153"/>
      <c r="AW39" s="129">
        <f t="shared" si="16"/>
        <v>0</v>
      </c>
    </row>
    <row r="40" spans="1:49" ht="9.75" thickBot="1" x14ac:dyDescent="0.2">
      <c r="A40" s="159"/>
      <c r="B40" s="160"/>
      <c r="C40" s="160"/>
      <c r="D40" s="154" t="str">
        <f t="shared" si="0"/>
        <v xml:space="preserve"> </v>
      </c>
      <c r="E40" s="162"/>
      <c r="F40" s="262">
        <v>0</v>
      </c>
      <c r="G40" s="162">
        <v>37</v>
      </c>
      <c r="H40" s="162">
        <v>37</v>
      </c>
      <c r="I40" s="162"/>
      <c r="J40" s="164"/>
      <c r="K40" s="162"/>
      <c r="L40" s="164"/>
      <c r="M40" s="164"/>
      <c r="N40" s="162"/>
      <c r="O40" s="162"/>
      <c r="P40" s="162"/>
      <c r="Q40" s="155">
        <f>AS40</f>
        <v>0</v>
      </c>
      <c r="R40" s="155">
        <f>AT40</f>
        <v>0</v>
      </c>
      <c r="S40" s="156">
        <f>AU40</f>
        <v>0</v>
      </c>
      <c r="U40" s="129">
        <f>IF(OR(C39=5,C40=5),0,1)</f>
        <v>1</v>
      </c>
      <c r="V40" s="129">
        <f t="shared" si="7"/>
        <v>0</v>
      </c>
      <c r="W40" s="129">
        <f t="shared" si="8"/>
        <v>0</v>
      </c>
      <c r="X40" s="129">
        <f t="shared" si="9"/>
        <v>0</v>
      </c>
      <c r="Y40" s="129">
        <f t="shared" si="10"/>
        <v>65.337800000000001</v>
      </c>
      <c r="Z40" s="153">
        <f t="shared" si="1"/>
        <v>0</v>
      </c>
      <c r="AA40" s="248">
        <f t="shared" si="2"/>
        <v>0</v>
      </c>
      <c r="AB40" s="153">
        <f t="shared" si="11"/>
        <v>0</v>
      </c>
      <c r="AC40" s="248">
        <f t="shared" si="3"/>
        <v>0</v>
      </c>
      <c r="AD40" s="153">
        <f t="shared" si="4"/>
        <v>0</v>
      </c>
      <c r="AE40" s="248">
        <f t="shared" si="5"/>
        <v>0</v>
      </c>
      <c r="AF40" s="153">
        <f t="shared" si="12"/>
        <v>0</v>
      </c>
      <c r="AG40" s="248">
        <f t="shared" si="6"/>
        <v>0</v>
      </c>
      <c r="AH40" s="153">
        <f t="shared" si="13"/>
        <v>0</v>
      </c>
      <c r="AI40" s="153"/>
      <c r="AJ40" s="153">
        <f t="shared" si="14"/>
        <v>0</v>
      </c>
      <c r="AK40" s="153">
        <f t="shared" si="15"/>
        <v>0</v>
      </c>
      <c r="AL40" s="153"/>
      <c r="AM40" s="153">
        <f>AK39*W39+AK40*W40</f>
        <v>0</v>
      </c>
      <c r="AN40" s="153">
        <f>(SUM(AD39:AG39)*W39+SUM(AD40:AG40)*W40)*12*VLOOKUP(C40,JNovergang,3,1)</f>
        <v>0</v>
      </c>
      <c r="AO40" s="153">
        <f>AM40-AN40</f>
        <v>0</v>
      </c>
      <c r="AP40" s="153">
        <f>M40*(100+X40)%</f>
        <v>0</v>
      </c>
      <c r="AQ40" s="248">
        <f>ROUND(M40*F40,2)</f>
        <v>0</v>
      </c>
      <c r="AS40" s="248">
        <f>ROUND((AP40+AQ40)+AM40*(N40/12),0)</f>
        <v>0</v>
      </c>
      <c r="AT40" s="248">
        <f>ROUND(AM40*(O40/12),0)</f>
        <v>0</v>
      </c>
      <c r="AU40" s="248">
        <f>ROUND(AM40*(P40/12)*U40,0)</f>
        <v>0</v>
      </c>
      <c r="AW40" s="129">
        <f t="shared" si="16"/>
        <v>0</v>
      </c>
    </row>
    <row r="41" spans="1:49" x14ac:dyDescent="0.15">
      <c r="A41" s="157"/>
      <c r="B41" s="158"/>
      <c r="C41" s="158"/>
      <c r="D41" s="149" t="str">
        <f t="shared" si="0"/>
        <v xml:space="preserve"> </v>
      </c>
      <c r="E41" s="161"/>
      <c r="F41" s="261">
        <v>0</v>
      </c>
      <c r="G41" s="161">
        <v>37</v>
      </c>
      <c r="H41" s="161">
        <v>37</v>
      </c>
      <c r="I41" s="161"/>
      <c r="J41" s="163"/>
      <c r="K41" s="161"/>
      <c r="L41" s="163"/>
      <c r="M41" s="150"/>
      <c r="N41" s="150"/>
      <c r="O41" s="150"/>
      <c r="P41" s="150"/>
      <c r="Q41" s="151"/>
      <c r="R41" s="151"/>
      <c r="S41" s="152"/>
      <c r="V41" s="129">
        <f t="shared" si="7"/>
        <v>0</v>
      </c>
      <c r="W41" s="129">
        <f t="shared" si="8"/>
        <v>0</v>
      </c>
      <c r="X41" s="129">
        <f t="shared" ref="X41:X50" si="17">VLOOKUP(C41,JNferiepenge,3,1)</f>
        <v>0</v>
      </c>
      <c r="Y41" s="129">
        <f t="shared" si="10"/>
        <v>65.337800000000001</v>
      </c>
      <c r="Z41" s="153">
        <f t="shared" si="1"/>
        <v>0</v>
      </c>
      <c r="AA41" s="248">
        <f t="shared" si="2"/>
        <v>0</v>
      </c>
      <c r="AB41" s="153">
        <f t="shared" si="11"/>
        <v>0</v>
      </c>
      <c r="AC41" s="248">
        <f t="shared" si="3"/>
        <v>0</v>
      </c>
      <c r="AD41" s="153">
        <f t="shared" si="4"/>
        <v>0</v>
      </c>
      <c r="AE41" s="248">
        <f t="shared" si="5"/>
        <v>0</v>
      </c>
      <c r="AF41" s="153">
        <f t="shared" si="12"/>
        <v>0</v>
      </c>
      <c r="AG41" s="248">
        <f t="shared" si="6"/>
        <v>0</v>
      </c>
      <c r="AH41" s="153">
        <f t="shared" si="13"/>
        <v>0</v>
      </c>
      <c r="AI41" s="153"/>
      <c r="AJ41" s="153">
        <f t="shared" si="14"/>
        <v>0</v>
      </c>
      <c r="AK41" s="153">
        <f t="shared" si="15"/>
        <v>0</v>
      </c>
      <c r="AL41" s="153"/>
      <c r="AM41" s="153"/>
      <c r="AN41" s="153"/>
      <c r="AQ41" s="153"/>
      <c r="AW41" s="129">
        <f t="shared" si="16"/>
        <v>0</v>
      </c>
    </row>
    <row r="42" spans="1:49" ht="9.75" thickBot="1" x14ac:dyDescent="0.2">
      <c r="A42" s="159"/>
      <c r="B42" s="160"/>
      <c r="C42" s="160"/>
      <c r="D42" s="154" t="str">
        <f t="shared" si="0"/>
        <v xml:space="preserve"> </v>
      </c>
      <c r="E42" s="162"/>
      <c r="F42" s="262">
        <v>0</v>
      </c>
      <c r="G42" s="162">
        <v>37</v>
      </c>
      <c r="H42" s="162">
        <v>37</v>
      </c>
      <c r="I42" s="162"/>
      <c r="J42" s="164"/>
      <c r="K42" s="162"/>
      <c r="L42" s="164"/>
      <c r="M42" s="164"/>
      <c r="N42" s="162"/>
      <c r="O42" s="162"/>
      <c r="P42" s="162"/>
      <c r="Q42" s="155">
        <f>AS42</f>
        <v>0</v>
      </c>
      <c r="R42" s="155">
        <f>AT42</f>
        <v>0</v>
      </c>
      <c r="S42" s="156">
        <f>AU42</f>
        <v>0</v>
      </c>
      <c r="U42" s="129">
        <f>IF(OR(C41=5,C42=5),0,1)</f>
        <v>1</v>
      </c>
      <c r="V42" s="129">
        <f t="shared" si="7"/>
        <v>0</v>
      </c>
      <c r="W42" s="129">
        <f t="shared" si="8"/>
        <v>0</v>
      </c>
      <c r="X42" s="129">
        <f t="shared" si="17"/>
        <v>0</v>
      </c>
      <c r="Y42" s="129">
        <f t="shared" si="10"/>
        <v>65.337800000000001</v>
      </c>
      <c r="Z42" s="153">
        <f t="shared" si="1"/>
        <v>0</v>
      </c>
      <c r="AA42" s="248">
        <f t="shared" si="2"/>
        <v>0</v>
      </c>
      <c r="AB42" s="153">
        <f t="shared" si="11"/>
        <v>0</v>
      </c>
      <c r="AC42" s="248">
        <f t="shared" si="3"/>
        <v>0</v>
      </c>
      <c r="AD42" s="153">
        <f t="shared" si="4"/>
        <v>0</v>
      </c>
      <c r="AE42" s="248">
        <f t="shared" si="5"/>
        <v>0</v>
      </c>
      <c r="AF42" s="153">
        <f t="shared" si="12"/>
        <v>0</v>
      </c>
      <c r="AG42" s="248">
        <f t="shared" si="6"/>
        <v>0</v>
      </c>
      <c r="AH42" s="153">
        <f t="shared" si="13"/>
        <v>0</v>
      </c>
      <c r="AI42" s="153"/>
      <c r="AJ42" s="153">
        <f t="shared" si="14"/>
        <v>0</v>
      </c>
      <c r="AK42" s="153">
        <f t="shared" si="15"/>
        <v>0</v>
      </c>
      <c r="AL42" s="153"/>
      <c r="AM42" s="153">
        <f>AK41*W41+AK42*W42</f>
        <v>0</v>
      </c>
      <c r="AN42" s="153">
        <f>(SUM(AD41:AG41)*W41+SUM(AD42:AG42)*W42)*12*VLOOKUP(C42,JNovergang,3,1)</f>
        <v>0</v>
      </c>
      <c r="AO42" s="153">
        <f>AM42-AN42</f>
        <v>0</v>
      </c>
      <c r="AP42" s="153">
        <f>M42*(100+X42)%</f>
        <v>0</v>
      </c>
      <c r="AQ42" s="248">
        <f>ROUND(M42*F42,2)</f>
        <v>0</v>
      </c>
      <c r="AS42" s="248">
        <f>ROUND((AP42+AQ42)+AM42*(N42/12),0)</f>
        <v>0</v>
      </c>
      <c r="AT42" s="248">
        <f>ROUND(AM42*(O42/12),0)</f>
        <v>0</v>
      </c>
      <c r="AU42" s="248">
        <f>ROUND(AM42*(P42/12)*U42,0)</f>
        <v>0</v>
      </c>
      <c r="AW42" s="129">
        <f t="shared" si="16"/>
        <v>0</v>
      </c>
    </row>
    <row r="43" spans="1:49" x14ac:dyDescent="0.15">
      <c r="A43" s="157"/>
      <c r="B43" s="158"/>
      <c r="C43" s="158"/>
      <c r="D43" s="149" t="str">
        <f t="shared" si="0"/>
        <v xml:space="preserve"> </v>
      </c>
      <c r="E43" s="161"/>
      <c r="F43" s="261">
        <v>0</v>
      </c>
      <c r="G43" s="161">
        <v>37</v>
      </c>
      <c r="H43" s="161">
        <v>37</v>
      </c>
      <c r="I43" s="161"/>
      <c r="J43" s="163"/>
      <c r="K43" s="161"/>
      <c r="L43" s="163"/>
      <c r="M43" s="150"/>
      <c r="N43" s="150"/>
      <c r="O43" s="150"/>
      <c r="P43" s="150"/>
      <c r="Q43" s="151"/>
      <c r="R43" s="151"/>
      <c r="S43" s="152"/>
      <c r="V43" s="129">
        <f t="shared" si="7"/>
        <v>0</v>
      </c>
      <c r="W43" s="129">
        <f t="shared" si="8"/>
        <v>0</v>
      </c>
      <c r="X43" s="129">
        <f t="shared" si="17"/>
        <v>0</v>
      </c>
      <c r="Y43" s="129">
        <f t="shared" si="10"/>
        <v>65.337800000000001</v>
      </c>
      <c r="Z43" s="153">
        <f t="shared" si="1"/>
        <v>0</v>
      </c>
      <c r="AA43" s="248">
        <f t="shared" si="2"/>
        <v>0</v>
      </c>
      <c r="AB43" s="153">
        <f t="shared" si="11"/>
        <v>0</v>
      </c>
      <c r="AC43" s="248">
        <f t="shared" si="3"/>
        <v>0</v>
      </c>
      <c r="AD43" s="153">
        <f t="shared" si="4"/>
        <v>0</v>
      </c>
      <c r="AE43" s="248">
        <f t="shared" si="5"/>
        <v>0</v>
      </c>
      <c r="AF43" s="153">
        <f t="shared" si="12"/>
        <v>0</v>
      </c>
      <c r="AG43" s="248">
        <f t="shared" si="6"/>
        <v>0</v>
      </c>
      <c r="AH43" s="153">
        <f t="shared" si="13"/>
        <v>0</v>
      </c>
      <c r="AI43" s="153"/>
      <c r="AJ43" s="153">
        <f t="shared" si="14"/>
        <v>0</v>
      </c>
      <c r="AK43" s="153">
        <f t="shared" si="15"/>
        <v>0</v>
      </c>
      <c r="AL43" s="153"/>
      <c r="AM43" s="153"/>
      <c r="AN43" s="153"/>
      <c r="AQ43" s="153"/>
      <c r="AW43" s="129">
        <f t="shared" si="16"/>
        <v>0</v>
      </c>
    </row>
    <row r="44" spans="1:49" ht="9.75" thickBot="1" x14ac:dyDescent="0.2">
      <c r="A44" s="159"/>
      <c r="B44" s="160"/>
      <c r="C44" s="160"/>
      <c r="D44" s="154" t="str">
        <f t="shared" si="0"/>
        <v xml:space="preserve"> </v>
      </c>
      <c r="E44" s="162"/>
      <c r="F44" s="262">
        <v>0</v>
      </c>
      <c r="G44" s="162">
        <v>37</v>
      </c>
      <c r="H44" s="162">
        <v>37</v>
      </c>
      <c r="I44" s="162"/>
      <c r="J44" s="164"/>
      <c r="K44" s="162"/>
      <c r="L44" s="164"/>
      <c r="M44" s="164"/>
      <c r="N44" s="162"/>
      <c r="O44" s="162"/>
      <c r="P44" s="162"/>
      <c r="Q44" s="155">
        <f>AS44</f>
        <v>0</v>
      </c>
      <c r="R44" s="155">
        <f>AT44</f>
        <v>0</v>
      </c>
      <c r="S44" s="156">
        <f>AU44</f>
        <v>0</v>
      </c>
      <c r="U44" s="129">
        <f>IF(OR(C43=5,C44=5),0,1)</f>
        <v>1</v>
      </c>
      <c r="V44" s="129">
        <f t="shared" si="7"/>
        <v>0</v>
      </c>
      <c r="W44" s="129">
        <f t="shared" si="8"/>
        <v>0</v>
      </c>
      <c r="X44" s="129">
        <f t="shared" si="17"/>
        <v>0</v>
      </c>
      <c r="Y44" s="129">
        <f t="shared" si="10"/>
        <v>65.337800000000001</v>
      </c>
      <c r="Z44" s="153">
        <f t="shared" si="1"/>
        <v>0</v>
      </c>
      <c r="AA44" s="248">
        <f t="shared" si="2"/>
        <v>0</v>
      </c>
      <c r="AB44" s="153">
        <f t="shared" si="11"/>
        <v>0</v>
      </c>
      <c r="AC44" s="248">
        <f t="shared" si="3"/>
        <v>0</v>
      </c>
      <c r="AD44" s="153">
        <f t="shared" si="4"/>
        <v>0</v>
      </c>
      <c r="AE44" s="248">
        <f t="shared" si="5"/>
        <v>0</v>
      </c>
      <c r="AF44" s="153">
        <f t="shared" si="12"/>
        <v>0</v>
      </c>
      <c r="AG44" s="248">
        <f t="shared" si="6"/>
        <v>0</v>
      </c>
      <c r="AH44" s="153">
        <f t="shared" si="13"/>
        <v>0</v>
      </c>
      <c r="AI44" s="153"/>
      <c r="AJ44" s="153">
        <f t="shared" si="14"/>
        <v>0</v>
      </c>
      <c r="AK44" s="153">
        <f t="shared" si="15"/>
        <v>0</v>
      </c>
      <c r="AL44" s="153"/>
      <c r="AM44" s="153">
        <f>AK43*W43+AK44*W44</f>
        <v>0</v>
      </c>
      <c r="AN44" s="153">
        <f>(SUM(AD43:AG43)*W43+SUM(AD44:AG44)*W44)*12*VLOOKUP(C44,JNovergang,3,1)</f>
        <v>0</v>
      </c>
      <c r="AO44" s="153">
        <f>AM44-AN44</f>
        <v>0</v>
      </c>
      <c r="AP44" s="153">
        <f>M44*(100+X44)%</f>
        <v>0</v>
      </c>
      <c r="AQ44" s="248">
        <f>ROUND(M44*F44,2)</f>
        <v>0</v>
      </c>
      <c r="AS44" s="248">
        <f>ROUND((AP44+AQ44)+AM44*(N44/12),0)</f>
        <v>0</v>
      </c>
      <c r="AT44" s="248">
        <f>ROUND(AM44*(O44/12),0)</f>
        <v>0</v>
      </c>
      <c r="AU44" s="248">
        <f>ROUND(AM44*(P44/12)*U44,0)</f>
        <v>0</v>
      </c>
      <c r="AW44" s="129">
        <f t="shared" si="16"/>
        <v>0</v>
      </c>
    </row>
    <row r="45" spans="1:49" x14ac:dyDescent="0.15">
      <c r="A45" s="157"/>
      <c r="B45" s="158"/>
      <c r="C45" s="158"/>
      <c r="D45" s="149" t="str">
        <f t="shared" si="0"/>
        <v xml:space="preserve"> </v>
      </c>
      <c r="E45" s="161"/>
      <c r="F45" s="261">
        <v>0</v>
      </c>
      <c r="G45" s="161">
        <v>37</v>
      </c>
      <c r="H45" s="161">
        <v>37</v>
      </c>
      <c r="I45" s="161"/>
      <c r="J45" s="163"/>
      <c r="K45" s="161"/>
      <c r="L45" s="163"/>
      <c r="M45" s="150"/>
      <c r="N45" s="150"/>
      <c r="O45" s="150"/>
      <c r="P45" s="150"/>
      <c r="Q45" s="151"/>
      <c r="R45" s="151"/>
      <c r="S45" s="152"/>
      <c r="V45" s="129">
        <f t="shared" si="7"/>
        <v>0</v>
      </c>
      <c r="W45" s="129">
        <f t="shared" si="8"/>
        <v>0</v>
      </c>
      <c r="X45" s="129">
        <f t="shared" si="17"/>
        <v>0</v>
      </c>
      <c r="Y45" s="129">
        <f t="shared" si="10"/>
        <v>65.337800000000001</v>
      </c>
      <c r="Z45" s="153">
        <f t="shared" si="1"/>
        <v>0</v>
      </c>
      <c r="AA45" s="248">
        <f t="shared" si="2"/>
        <v>0</v>
      </c>
      <c r="AB45" s="153">
        <f t="shared" si="11"/>
        <v>0</v>
      </c>
      <c r="AC45" s="248">
        <f t="shared" si="3"/>
        <v>0</v>
      </c>
      <c r="AD45" s="153">
        <f t="shared" si="4"/>
        <v>0</v>
      </c>
      <c r="AE45" s="248">
        <f t="shared" si="5"/>
        <v>0</v>
      </c>
      <c r="AF45" s="153">
        <f t="shared" si="12"/>
        <v>0</v>
      </c>
      <c r="AG45" s="248">
        <f t="shared" si="6"/>
        <v>0</v>
      </c>
      <c r="AH45" s="153">
        <f t="shared" si="13"/>
        <v>0</v>
      </c>
      <c r="AI45" s="153"/>
      <c r="AJ45" s="153">
        <f t="shared" si="14"/>
        <v>0</v>
      </c>
      <c r="AK45" s="153">
        <f t="shared" si="15"/>
        <v>0</v>
      </c>
      <c r="AL45" s="153"/>
      <c r="AM45" s="153"/>
      <c r="AN45" s="153"/>
      <c r="AQ45" s="153"/>
      <c r="AW45" s="129">
        <f t="shared" si="16"/>
        <v>0</v>
      </c>
    </row>
    <row r="46" spans="1:49" ht="9.75" thickBot="1" x14ac:dyDescent="0.2">
      <c r="A46" s="159"/>
      <c r="B46" s="160"/>
      <c r="C46" s="160"/>
      <c r="D46" s="154" t="str">
        <f t="shared" si="0"/>
        <v xml:space="preserve"> </v>
      </c>
      <c r="E46" s="162"/>
      <c r="F46" s="262">
        <v>0</v>
      </c>
      <c r="G46" s="162">
        <v>37</v>
      </c>
      <c r="H46" s="162">
        <v>37</v>
      </c>
      <c r="I46" s="162"/>
      <c r="J46" s="164"/>
      <c r="K46" s="162"/>
      <c r="L46" s="164"/>
      <c r="M46" s="164"/>
      <c r="N46" s="162"/>
      <c r="O46" s="162"/>
      <c r="P46" s="162"/>
      <c r="Q46" s="155">
        <f>AS46</f>
        <v>0</v>
      </c>
      <c r="R46" s="155">
        <f>AT46</f>
        <v>0</v>
      </c>
      <c r="S46" s="156">
        <f>AU46</f>
        <v>0</v>
      </c>
      <c r="U46" s="129">
        <f>IF(OR(C45=5,C46=5),0,1)</f>
        <v>1</v>
      </c>
      <c r="V46" s="129">
        <f t="shared" si="7"/>
        <v>0</v>
      </c>
      <c r="W46" s="129">
        <f t="shared" si="8"/>
        <v>0</v>
      </c>
      <c r="X46" s="129">
        <f t="shared" si="17"/>
        <v>0</v>
      </c>
      <c r="Y46" s="129">
        <f t="shared" si="10"/>
        <v>65.337800000000001</v>
      </c>
      <c r="Z46" s="153">
        <f t="shared" si="1"/>
        <v>0</v>
      </c>
      <c r="AA46" s="248">
        <f t="shared" si="2"/>
        <v>0</v>
      </c>
      <c r="AB46" s="153">
        <f t="shared" si="11"/>
        <v>0</v>
      </c>
      <c r="AC46" s="248">
        <f t="shared" si="3"/>
        <v>0</v>
      </c>
      <c r="AD46" s="153">
        <f t="shared" si="4"/>
        <v>0</v>
      </c>
      <c r="AE46" s="248">
        <f t="shared" si="5"/>
        <v>0</v>
      </c>
      <c r="AF46" s="153">
        <f t="shared" si="12"/>
        <v>0</v>
      </c>
      <c r="AG46" s="248">
        <f t="shared" si="6"/>
        <v>0</v>
      </c>
      <c r="AH46" s="153">
        <f t="shared" si="13"/>
        <v>0</v>
      </c>
      <c r="AI46" s="153"/>
      <c r="AJ46" s="153">
        <f t="shared" si="14"/>
        <v>0</v>
      </c>
      <c r="AK46" s="153">
        <f t="shared" si="15"/>
        <v>0</v>
      </c>
      <c r="AL46" s="153"/>
      <c r="AM46" s="153">
        <f>AK45*W45+AK46*W46</f>
        <v>0</v>
      </c>
      <c r="AN46" s="153">
        <f>(SUM(AD45:AG45)*W45+SUM(AD46:AG46)*W46)*12*VLOOKUP(C46,JNovergang,3,1)</f>
        <v>0</v>
      </c>
      <c r="AO46" s="153">
        <f>AM46-AN46</f>
        <v>0</v>
      </c>
      <c r="AP46" s="153">
        <f>M46*(100+X46)%</f>
        <v>0</v>
      </c>
      <c r="AQ46" s="248">
        <f>ROUND(M46*F46,2)</f>
        <v>0</v>
      </c>
      <c r="AS46" s="248">
        <f>ROUND((AP46+AQ46)+AM46*(N46/12),0)</f>
        <v>0</v>
      </c>
      <c r="AT46" s="248">
        <f>ROUND(AM46*(O46/12),0)</f>
        <v>0</v>
      </c>
      <c r="AU46" s="248">
        <f>ROUND(AM46*(P46/12)*U46,0)</f>
        <v>0</v>
      </c>
      <c r="AW46" s="129">
        <f t="shared" si="16"/>
        <v>0</v>
      </c>
    </row>
    <row r="47" spans="1:49" x14ac:dyDescent="0.15">
      <c r="A47" s="157"/>
      <c r="B47" s="158"/>
      <c r="C47" s="158"/>
      <c r="D47" s="149" t="str">
        <f t="shared" si="0"/>
        <v xml:space="preserve"> </v>
      </c>
      <c r="E47" s="161"/>
      <c r="F47" s="261">
        <v>0</v>
      </c>
      <c r="G47" s="161">
        <v>37</v>
      </c>
      <c r="H47" s="161">
        <v>37</v>
      </c>
      <c r="I47" s="161"/>
      <c r="J47" s="163"/>
      <c r="K47" s="161"/>
      <c r="L47" s="163"/>
      <c r="M47" s="150"/>
      <c r="N47" s="150"/>
      <c r="O47" s="150"/>
      <c r="P47" s="150"/>
      <c r="Q47" s="151"/>
      <c r="R47" s="151"/>
      <c r="S47" s="152"/>
      <c r="V47" s="129">
        <f t="shared" si="7"/>
        <v>0</v>
      </c>
      <c r="W47" s="129">
        <f t="shared" si="8"/>
        <v>0</v>
      </c>
      <c r="X47" s="129">
        <f t="shared" si="17"/>
        <v>0</v>
      </c>
      <c r="Y47" s="129">
        <f t="shared" si="10"/>
        <v>65.337800000000001</v>
      </c>
      <c r="Z47" s="153">
        <f t="shared" si="1"/>
        <v>0</v>
      </c>
      <c r="AA47" s="248">
        <f t="shared" si="2"/>
        <v>0</v>
      </c>
      <c r="AB47" s="153">
        <f t="shared" si="11"/>
        <v>0</v>
      </c>
      <c r="AC47" s="248">
        <f t="shared" si="3"/>
        <v>0</v>
      </c>
      <c r="AD47" s="153">
        <f t="shared" si="4"/>
        <v>0</v>
      </c>
      <c r="AE47" s="248">
        <f t="shared" si="5"/>
        <v>0</v>
      </c>
      <c r="AF47" s="153">
        <f t="shared" si="12"/>
        <v>0</v>
      </c>
      <c r="AG47" s="248">
        <f t="shared" si="6"/>
        <v>0</v>
      </c>
      <c r="AH47" s="153">
        <f t="shared" si="13"/>
        <v>0</v>
      </c>
      <c r="AI47" s="153"/>
      <c r="AJ47" s="153">
        <f t="shared" si="14"/>
        <v>0</v>
      </c>
      <c r="AK47" s="153">
        <f t="shared" si="15"/>
        <v>0</v>
      </c>
      <c r="AL47" s="153"/>
      <c r="AM47" s="153"/>
      <c r="AN47" s="153"/>
      <c r="AQ47" s="153"/>
      <c r="AW47" s="129">
        <f t="shared" si="16"/>
        <v>0</v>
      </c>
    </row>
    <row r="48" spans="1:49" ht="9.75" thickBot="1" x14ac:dyDescent="0.2">
      <c r="A48" s="159"/>
      <c r="B48" s="160"/>
      <c r="C48" s="160"/>
      <c r="D48" s="154" t="str">
        <f t="shared" si="0"/>
        <v xml:space="preserve"> </v>
      </c>
      <c r="E48" s="162"/>
      <c r="F48" s="262">
        <v>0</v>
      </c>
      <c r="G48" s="162">
        <v>37</v>
      </c>
      <c r="H48" s="162">
        <v>37</v>
      </c>
      <c r="I48" s="162"/>
      <c r="J48" s="164"/>
      <c r="K48" s="162"/>
      <c r="L48" s="164"/>
      <c r="M48" s="164"/>
      <c r="N48" s="162"/>
      <c r="O48" s="162"/>
      <c r="P48" s="162"/>
      <c r="Q48" s="155">
        <f>AS48</f>
        <v>0</v>
      </c>
      <c r="R48" s="155">
        <f>AT48</f>
        <v>0</v>
      </c>
      <c r="S48" s="156">
        <f>AU48</f>
        <v>0</v>
      </c>
      <c r="U48" s="129">
        <f>IF(OR(C47=5,C48=5),0,1)</f>
        <v>1</v>
      </c>
      <c r="V48" s="129">
        <f t="shared" si="7"/>
        <v>0</v>
      </c>
      <c r="W48" s="129">
        <f t="shared" si="8"/>
        <v>0</v>
      </c>
      <c r="X48" s="129">
        <f t="shared" si="17"/>
        <v>0</v>
      </c>
      <c r="Y48" s="129">
        <f t="shared" si="10"/>
        <v>65.337800000000001</v>
      </c>
      <c r="Z48" s="153">
        <f t="shared" si="1"/>
        <v>0</v>
      </c>
      <c r="AA48" s="248">
        <f t="shared" si="2"/>
        <v>0</v>
      </c>
      <c r="AB48" s="153">
        <f t="shared" si="11"/>
        <v>0</v>
      </c>
      <c r="AC48" s="248">
        <f t="shared" si="3"/>
        <v>0</v>
      </c>
      <c r="AD48" s="153">
        <f t="shared" si="4"/>
        <v>0</v>
      </c>
      <c r="AE48" s="248">
        <f t="shared" si="5"/>
        <v>0</v>
      </c>
      <c r="AF48" s="153">
        <f t="shared" si="12"/>
        <v>0</v>
      </c>
      <c r="AG48" s="248">
        <f t="shared" si="6"/>
        <v>0</v>
      </c>
      <c r="AH48" s="153">
        <f t="shared" si="13"/>
        <v>0</v>
      </c>
      <c r="AI48" s="153"/>
      <c r="AJ48" s="153">
        <f t="shared" si="14"/>
        <v>0</v>
      </c>
      <c r="AK48" s="153">
        <f t="shared" si="15"/>
        <v>0</v>
      </c>
      <c r="AL48" s="153"/>
      <c r="AM48" s="153">
        <f>AK47*W47+AK48*W48</f>
        <v>0</v>
      </c>
      <c r="AN48" s="153">
        <f>(SUM(AD47:AG47)*W47+SUM(AD48:AG48)*W48)*12*VLOOKUP(C48,JNovergang,3,1)</f>
        <v>0</v>
      </c>
      <c r="AO48" s="153">
        <f>AM48-AN48</f>
        <v>0</v>
      </c>
      <c r="AP48" s="153">
        <f>M48*(100+X48)%</f>
        <v>0</v>
      </c>
      <c r="AQ48" s="248">
        <f>ROUND(M48*F48,2)</f>
        <v>0</v>
      </c>
      <c r="AS48" s="248">
        <f>ROUND((AP48+AQ48)+AM48*(N48/12),0)</f>
        <v>0</v>
      </c>
      <c r="AT48" s="248">
        <f>ROUND(AM48*(O48/12),0)</f>
        <v>0</v>
      </c>
      <c r="AU48" s="248">
        <f>ROUND(AM48*(P48/12)*U48,0)</f>
        <v>0</v>
      </c>
      <c r="AW48" s="129">
        <f t="shared" si="16"/>
        <v>0</v>
      </c>
    </row>
    <row r="49" spans="1:49" x14ac:dyDescent="0.15">
      <c r="A49" s="157"/>
      <c r="B49" s="158"/>
      <c r="C49" s="158"/>
      <c r="D49" s="149" t="str">
        <f t="shared" si="0"/>
        <v xml:space="preserve"> </v>
      </c>
      <c r="E49" s="161"/>
      <c r="F49" s="261">
        <v>0</v>
      </c>
      <c r="G49" s="161">
        <v>37</v>
      </c>
      <c r="H49" s="161">
        <v>37</v>
      </c>
      <c r="I49" s="161"/>
      <c r="J49" s="163"/>
      <c r="K49" s="161"/>
      <c r="L49" s="163"/>
      <c r="M49" s="150"/>
      <c r="N49" s="150"/>
      <c r="O49" s="150"/>
      <c r="P49" s="150"/>
      <c r="Q49" s="151"/>
      <c r="R49" s="151"/>
      <c r="S49" s="152"/>
      <c r="V49" s="129">
        <f t="shared" si="7"/>
        <v>0</v>
      </c>
      <c r="W49" s="129">
        <f t="shared" si="8"/>
        <v>0</v>
      </c>
      <c r="X49" s="129">
        <f t="shared" si="17"/>
        <v>0</v>
      </c>
      <c r="Y49" s="129">
        <f t="shared" si="10"/>
        <v>65.337800000000001</v>
      </c>
      <c r="Z49" s="153">
        <f t="shared" si="1"/>
        <v>0</v>
      </c>
      <c r="AA49" s="248">
        <f t="shared" si="2"/>
        <v>0</v>
      </c>
      <c r="AB49" s="153">
        <f t="shared" si="11"/>
        <v>0</v>
      </c>
      <c r="AC49" s="248">
        <f t="shared" si="3"/>
        <v>0</v>
      </c>
      <c r="AD49" s="153">
        <f t="shared" si="4"/>
        <v>0</v>
      </c>
      <c r="AE49" s="248">
        <f t="shared" si="5"/>
        <v>0</v>
      </c>
      <c r="AF49" s="153">
        <f t="shared" si="12"/>
        <v>0</v>
      </c>
      <c r="AG49" s="248">
        <f t="shared" si="6"/>
        <v>0</v>
      </c>
      <c r="AH49" s="153">
        <f t="shared" si="13"/>
        <v>0</v>
      </c>
      <c r="AI49" s="153"/>
      <c r="AJ49" s="153">
        <f t="shared" si="14"/>
        <v>0</v>
      </c>
      <c r="AK49" s="153">
        <f t="shared" si="15"/>
        <v>0</v>
      </c>
      <c r="AL49" s="153"/>
      <c r="AM49" s="153"/>
      <c r="AN49" s="153"/>
      <c r="AQ49" s="153"/>
      <c r="AW49" s="129">
        <f t="shared" si="16"/>
        <v>0</v>
      </c>
    </row>
    <row r="50" spans="1:49" ht="9.75" thickBot="1" x14ac:dyDescent="0.2">
      <c r="A50" s="159"/>
      <c r="B50" s="160"/>
      <c r="C50" s="160"/>
      <c r="D50" s="154" t="str">
        <f t="shared" si="0"/>
        <v xml:space="preserve"> </v>
      </c>
      <c r="E50" s="162"/>
      <c r="F50" s="262">
        <v>0</v>
      </c>
      <c r="G50" s="162">
        <v>37</v>
      </c>
      <c r="H50" s="162">
        <v>37</v>
      </c>
      <c r="I50" s="162"/>
      <c r="J50" s="164"/>
      <c r="K50" s="162"/>
      <c r="L50" s="164"/>
      <c r="M50" s="164"/>
      <c r="N50" s="162"/>
      <c r="O50" s="162"/>
      <c r="P50" s="162"/>
      <c r="Q50" s="155">
        <f>AS50</f>
        <v>0</v>
      </c>
      <c r="R50" s="155">
        <f>AT50</f>
        <v>0</v>
      </c>
      <c r="S50" s="156">
        <f>AU50</f>
        <v>0</v>
      </c>
      <c r="U50" s="129">
        <f>IF(OR(C49=5,C50=5),0,1)</f>
        <v>1</v>
      </c>
      <c r="V50" s="129">
        <f t="shared" si="7"/>
        <v>0</v>
      </c>
      <c r="W50" s="129">
        <f t="shared" si="8"/>
        <v>0</v>
      </c>
      <c r="X50" s="129">
        <f t="shared" si="17"/>
        <v>0</v>
      </c>
      <c r="Y50" s="129">
        <f t="shared" si="10"/>
        <v>65.337800000000001</v>
      </c>
      <c r="Z50" s="153">
        <f t="shared" si="1"/>
        <v>0</v>
      </c>
      <c r="AA50" s="248">
        <f t="shared" si="2"/>
        <v>0</v>
      </c>
      <c r="AB50" s="153">
        <f t="shared" si="11"/>
        <v>0</v>
      </c>
      <c r="AC50" s="248">
        <f t="shared" si="3"/>
        <v>0</v>
      </c>
      <c r="AD50" s="153">
        <f t="shared" si="4"/>
        <v>0</v>
      </c>
      <c r="AE50" s="248">
        <f t="shared" si="5"/>
        <v>0</v>
      </c>
      <c r="AF50" s="153">
        <f t="shared" si="12"/>
        <v>0</v>
      </c>
      <c r="AG50" s="248">
        <f t="shared" si="6"/>
        <v>0</v>
      </c>
      <c r="AH50" s="153">
        <f t="shared" si="13"/>
        <v>0</v>
      </c>
      <c r="AI50" s="153"/>
      <c r="AJ50" s="153">
        <f t="shared" si="14"/>
        <v>0</v>
      </c>
      <c r="AK50" s="153">
        <f t="shared" si="15"/>
        <v>0</v>
      </c>
      <c r="AL50" s="153"/>
      <c r="AM50" s="153">
        <f>AK49*W49+AK50*W50</f>
        <v>0</v>
      </c>
      <c r="AN50" s="153">
        <f>(SUM(AD49:AG49)*W49+SUM(AD50:AG50)*W50)*12*VLOOKUP(C50,JNovergang,3,1)</f>
        <v>0</v>
      </c>
      <c r="AO50" s="153">
        <f>AM50-AN50</f>
        <v>0</v>
      </c>
      <c r="AP50" s="153">
        <f>M50*(100+X50)%</f>
        <v>0</v>
      </c>
      <c r="AQ50" s="248">
        <f>ROUND(M50*F50,2)</f>
        <v>0</v>
      </c>
      <c r="AS50" s="248">
        <f>ROUND((AP50+AQ50)+AM50*(N50/12),0)</f>
        <v>0</v>
      </c>
      <c r="AT50" s="248">
        <f>ROUND(AM50*(O50/12),0)</f>
        <v>0</v>
      </c>
      <c r="AU50" s="248">
        <f>ROUND(AM50*(P50/12)*U50,0)</f>
        <v>0</v>
      </c>
      <c r="AW50" s="129">
        <f t="shared" si="16"/>
        <v>0</v>
      </c>
    </row>
    <row r="51" spans="1:49" x14ac:dyDescent="0.15">
      <c r="A51" s="157"/>
      <c r="B51" s="158"/>
      <c r="C51" s="158"/>
      <c r="D51" s="149" t="str">
        <f t="shared" si="0"/>
        <v xml:space="preserve"> </v>
      </c>
      <c r="E51" s="161"/>
      <c r="F51" s="261">
        <v>0</v>
      </c>
      <c r="G51" s="161">
        <v>37</v>
      </c>
      <c r="H51" s="161">
        <v>37</v>
      </c>
      <c r="I51" s="161"/>
      <c r="J51" s="163"/>
      <c r="K51" s="161"/>
      <c r="L51" s="163"/>
      <c r="M51" s="150"/>
      <c r="N51" s="150"/>
      <c r="O51" s="150"/>
      <c r="P51" s="150"/>
      <c r="Q51" s="151"/>
      <c r="R51" s="151"/>
      <c r="S51" s="152"/>
      <c r="V51" s="129">
        <f t="shared" si="7"/>
        <v>0</v>
      </c>
      <c r="W51" s="129">
        <f t="shared" si="8"/>
        <v>0</v>
      </c>
      <c r="X51" s="129">
        <f t="shared" ref="X51:X114" si="18">VLOOKUP(C51,JNferiepenge,3,1)</f>
        <v>0</v>
      </c>
      <c r="Y51" s="129">
        <f t="shared" si="10"/>
        <v>65.337800000000001</v>
      </c>
      <c r="Z51" s="153">
        <f t="shared" si="1"/>
        <v>0</v>
      </c>
      <c r="AA51" s="248">
        <f t="shared" si="2"/>
        <v>0</v>
      </c>
      <c r="AB51" s="153">
        <f t="shared" si="11"/>
        <v>0</v>
      </c>
      <c r="AC51" s="248">
        <f t="shared" si="3"/>
        <v>0</v>
      </c>
      <c r="AD51" s="153">
        <f t="shared" si="4"/>
        <v>0</v>
      </c>
      <c r="AE51" s="248">
        <f t="shared" si="5"/>
        <v>0</v>
      </c>
      <c r="AF51" s="153">
        <f t="shared" si="12"/>
        <v>0</v>
      </c>
      <c r="AG51" s="248">
        <f t="shared" si="6"/>
        <v>0</v>
      </c>
      <c r="AH51" s="153">
        <f t="shared" si="13"/>
        <v>0</v>
      </c>
      <c r="AI51" s="153"/>
      <c r="AJ51" s="153">
        <f t="shared" si="14"/>
        <v>0</v>
      </c>
      <c r="AK51" s="153">
        <f t="shared" si="15"/>
        <v>0</v>
      </c>
      <c r="AL51" s="153"/>
      <c r="AM51" s="153"/>
      <c r="AN51" s="153"/>
      <c r="AQ51" s="153"/>
      <c r="AW51" s="129">
        <f t="shared" si="16"/>
        <v>0</v>
      </c>
    </row>
    <row r="52" spans="1:49" ht="9.75" thickBot="1" x14ac:dyDescent="0.2">
      <c r="A52" s="159"/>
      <c r="B52" s="160"/>
      <c r="C52" s="160"/>
      <c r="D52" s="154" t="str">
        <f t="shared" si="0"/>
        <v xml:space="preserve"> </v>
      </c>
      <c r="E52" s="162"/>
      <c r="F52" s="262">
        <v>0</v>
      </c>
      <c r="G52" s="162">
        <v>37</v>
      </c>
      <c r="H52" s="162">
        <v>37</v>
      </c>
      <c r="I52" s="162"/>
      <c r="J52" s="164"/>
      <c r="K52" s="162"/>
      <c r="L52" s="164"/>
      <c r="M52" s="164"/>
      <c r="N52" s="162"/>
      <c r="O52" s="162"/>
      <c r="P52" s="162"/>
      <c r="Q52" s="155">
        <f>AS52</f>
        <v>0</v>
      </c>
      <c r="R52" s="155">
        <f>AT52</f>
        <v>0</v>
      </c>
      <c r="S52" s="156">
        <f>AU52</f>
        <v>0</v>
      </c>
      <c r="U52" s="129">
        <f>IF(OR(C51=5,C52=5),0,1)</f>
        <v>1</v>
      </c>
      <c r="V52" s="129">
        <f t="shared" si="7"/>
        <v>0</v>
      </c>
      <c r="W52" s="129">
        <f t="shared" si="8"/>
        <v>0</v>
      </c>
      <c r="X52" s="129">
        <f t="shared" si="18"/>
        <v>0</v>
      </c>
      <c r="Y52" s="129">
        <f t="shared" si="10"/>
        <v>65.337800000000001</v>
      </c>
      <c r="Z52" s="153">
        <f t="shared" si="1"/>
        <v>0</v>
      </c>
      <c r="AA52" s="248">
        <f t="shared" si="2"/>
        <v>0</v>
      </c>
      <c r="AB52" s="153">
        <f t="shared" si="11"/>
        <v>0</v>
      </c>
      <c r="AC52" s="248">
        <f t="shared" si="3"/>
        <v>0</v>
      </c>
      <c r="AD52" s="153">
        <f t="shared" si="4"/>
        <v>0</v>
      </c>
      <c r="AE52" s="248">
        <f t="shared" si="5"/>
        <v>0</v>
      </c>
      <c r="AF52" s="153">
        <f t="shared" si="12"/>
        <v>0</v>
      </c>
      <c r="AG52" s="248">
        <f t="shared" si="6"/>
        <v>0</v>
      </c>
      <c r="AH52" s="153">
        <f t="shared" si="13"/>
        <v>0</v>
      </c>
      <c r="AI52" s="153"/>
      <c r="AJ52" s="153">
        <f t="shared" si="14"/>
        <v>0</v>
      </c>
      <c r="AK52" s="153">
        <f t="shared" si="15"/>
        <v>0</v>
      </c>
      <c r="AL52" s="153"/>
      <c r="AM52" s="153">
        <f>AK51*W51+AK52*W52</f>
        <v>0</v>
      </c>
      <c r="AN52" s="153">
        <f>(SUM(AD51:AG51)*W51+SUM(AD52:AG52)*W52)*12*VLOOKUP(C52,JNovergang,3,1)</f>
        <v>0</v>
      </c>
      <c r="AO52" s="153">
        <f>AM52-AN52</f>
        <v>0</v>
      </c>
      <c r="AP52" s="153">
        <f>M52*(100+X52)%</f>
        <v>0</v>
      </c>
      <c r="AQ52" s="248">
        <f>ROUND(M52*F52,2)</f>
        <v>0</v>
      </c>
      <c r="AS52" s="248">
        <f>ROUND((AP52+AQ52)+AM52*(N52/12),0)</f>
        <v>0</v>
      </c>
      <c r="AT52" s="248">
        <f>ROUND(AM52*(O52/12),0)</f>
        <v>0</v>
      </c>
      <c r="AU52" s="248">
        <f>ROUND(AM52*(P52/12)*U52,0)</f>
        <v>0</v>
      </c>
      <c r="AW52" s="129">
        <f t="shared" si="16"/>
        <v>0</v>
      </c>
    </row>
    <row r="53" spans="1:49" x14ac:dyDescent="0.15">
      <c r="A53" s="157"/>
      <c r="B53" s="158"/>
      <c r="C53" s="158"/>
      <c r="D53" s="149" t="str">
        <f t="shared" si="0"/>
        <v xml:space="preserve"> </v>
      </c>
      <c r="E53" s="161"/>
      <c r="F53" s="261">
        <v>0</v>
      </c>
      <c r="G53" s="161">
        <v>37</v>
      </c>
      <c r="H53" s="161">
        <v>37</v>
      </c>
      <c r="I53" s="161"/>
      <c r="J53" s="163"/>
      <c r="K53" s="161"/>
      <c r="L53" s="163"/>
      <c r="M53" s="150"/>
      <c r="N53" s="150"/>
      <c r="O53" s="150"/>
      <c r="P53" s="150"/>
      <c r="Q53" s="151"/>
      <c r="R53" s="151"/>
      <c r="S53" s="152"/>
      <c r="V53" s="129">
        <f t="shared" si="7"/>
        <v>0</v>
      </c>
      <c r="W53" s="129">
        <f t="shared" si="8"/>
        <v>0</v>
      </c>
      <c r="X53" s="129">
        <f t="shared" si="18"/>
        <v>0</v>
      </c>
      <c r="Y53" s="129">
        <f t="shared" si="10"/>
        <v>65.337800000000001</v>
      </c>
      <c r="Z53" s="153">
        <f t="shared" si="1"/>
        <v>0</v>
      </c>
      <c r="AA53" s="248">
        <f t="shared" si="2"/>
        <v>0</v>
      </c>
      <c r="AB53" s="153">
        <f t="shared" si="11"/>
        <v>0</v>
      </c>
      <c r="AC53" s="248">
        <f t="shared" si="3"/>
        <v>0</v>
      </c>
      <c r="AD53" s="153">
        <f t="shared" si="4"/>
        <v>0</v>
      </c>
      <c r="AE53" s="248">
        <f t="shared" si="5"/>
        <v>0</v>
      </c>
      <c r="AF53" s="153">
        <f t="shared" si="12"/>
        <v>0</v>
      </c>
      <c r="AG53" s="248">
        <f t="shared" si="6"/>
        <v>0</v>
      </c>
      <c r="AH53" s="153">
        <f t="shared" si="13"/>
        <v>0</v>
      </c>
      <c r="AI53" s="153"/>
      <c r="AJ53" s="153">
        <f t="shared" si="14"/>
        <v>0</v>
      </c>
      <c r="AK53" s="153">
        <f t="shared" si="15"/>
        <v>0</v>
      </c>
      <c r="AL53" s="153"/>
      <c r="AM53" s="153"/>
      <c r="AN53" s="153"/>
      <c r="AQ53" s="153"/>
      <c r="AW53" s="129">
        <f t="shared" si="16"/>
        <v>0</v>
      </c>
    </row>
    <row r="54" spans="1:49" ht="9.75" thickBot="1" x14ac:dyDescent="0.2">
      <c r="A54" s="159"/>
      <c r="B54" s="160"/>
      <c r="C54" s="160"/>
      <c r="D54" s="154" t="str">
        <f t="shared" si="0"/>
        <v xml:space="preserve"> </v>
      </c>
      <c r="E54" s="162"/>
      <c r="F54" s="262">
        <v>0</v>
      </c>
      <c r="G54" s="162">
        <v>37</v>
      </c>
      <c r="H54" s="162">
        <v>37</v>
      </c>
      <c r="I54" s="162"/>
      <c r="J54" s="164"/>
      <c r="K54" s="162"/>
      <c r="L54" s="164"/>
      <c r="M54" s="164"/>
      <c r="N54" s="162"/>
      <c r="O54" s="162"/>
      <c r="P54" s="162"/>
      <c r="Q54" s="155">
        <f>AS54</f>
        <v>0</v>
      </c>
      <c r="R54" s="155">
        <f>AT54</f>
        <v>0</v>
      </c>
      <c r="S54" s="156">
        <f>AU54</f>
        <v>0</v>
      </c>
      <c r="U54" s="129">
        <f>IF(OR(C53=5,C54=5),0,1)</f>
        <v>1</v>
      </c>
      <c r="V54" s="129">
        <f t="shared" si="7"/>
        <v>0</v>
      </c>
      <c r="W54" s="129">
        <f t="shared" si="8"/>
        <v>0</v>
      </c>
      <c r="X54" s="129">
        <f t="shared" si="18"/>
        <v>0</v>
      </c>
      <c r="Y54" s="129">
        <f t="shared" si="10"/>
        <v>65.337800000000001</v>
      </c>
      <c r="Z54" s="153">
        <f t="shared" si="1"/>
        <v>0</v>
      </c>
      <c r="AA54" s="248">
        <f t="shared" si="2"/>
        <v>0</v>
      </c>
      <c r="AB54" s="153">
        <f t="shared" si="11"/>
        <v>0</v>
      </c>
      <c r="AC54" s="248">
        <f t="shared" si="3"/>
        <v>0</v>
      </c>
      <c r="AD54" s="153">
        <f t="shared" si="4"/>
        <v>0</v>
      </c>
      <c r="AE54" s="248">
        <f t="shared" si="5"/>
        <v>0</v>
      </c>
      <c r="AF54" s="153">
        <f t="shared" si="12"/>
        <v>0</v>
      </c>
      <c r="AG54" s="248">
        <f t="shared" si="6"/>
        <v>0</v>
      </c>
      <c r="AH54" s="153">
        <f t="shared" si="13"/>
        <v>0</v>
      </c>
      <c r="AI54" s="153"/>
      <c r="AJ54" s="153">
        <f t="shared" si="14"/>
        <v>0</v>
      </c>
      <c r="AK54" s="153">
        <f t="shared" si="15"/>
        <v>0</v>
      </c>
      <c r="AL54" s="153"/>
      <c r="AM54" s="153">
        <f>AK53*W53+AK54*W54</f>
        <v>0</v>
      </c>
      <c r="AN54" s="153">
        <f>(SUM(AD53:AG53)*W53+SUM(AD54:AG54)*W54)*12*VLOOKUP(C54,JNovergang,3,1)</f>
        <v>0</v>
      </c>
      <c r="AO54" s="153">
        <f>AM54-AN54</f>
        <v>0</v>
      </c>
      <c r="AP54" s="153">
        <f>M54*(100+X54)%</f>
        <v>0</v>
      </c>
      <c r="AQ54" s="248">
        <f>ROUND(M54*F54,2)</f>
        <v>0</v>
      </c>
      <c r="AS54" s="248">
        <f>ROUND((AP54+AQ54)+AM54*(N54/12),0)</f>
        <v>0</v>
      </c>
      <c r="AT54" s="248">
        <f>ROUND(AM54*(O54/12),0)</f>
        <v>0</v>
      </c>
      <c r="AU54" s="248">
        <f>ROUND(AM54*(P54/12)*U54,0)</f>
        <v>0</v>
      </c>
      <c r="AW54" s="129">
        <f t="shared" si="16"/>
        <v>0</v>
      </c>
    </row>
    <row r="55" spans="1:49" x14ac:dyDescent="0.15">
      <c r="A55" s="157"/>
      <c r="B55" s="158"/>
      <c r="C55" s="158"/>
      <c r="D55" s="149" t="str">
        <f t="shared" si="0"/>
        <v xml:space="preserve"> </v>
      </c>
      <c r="E55" s="161"/>
      <c r="F55" s="261">
        <v>0</v>
      </c>
      <c r="G55" s="161">
        <v>37</v>
      </c>
      <c r="H55" s="161">
        <v>37</v>
      </c>
      <c r="I55" s="161"/>
      <c r="J55" s="163"/>
      <c r="K55" s="161"/>
      <c r="L55" s="163"/>
      <c r="M55" s="150"/>
      <c r="N55" s="150"/>
      <c r="O55" s="150"/>
      <c r="P55" s="150"/>
      <c r="Q55" s="151"/>
      <c r="R55" s="151"/>
      <c r="S55" s="152"/>
      <c r="V55" s="129">
        <f t="shared" si="7"/>
        <v>0</v>
      </c>
      <c r="W55" s="129">
        <f t="shared" si="8"/>
        <v>0</v>
      </c>
      <c r="X55" s="129">
        <f t="shared" si="18"/>
        <v>0</v>
      </c>
      <c r="Y55" s="129">
        <f t="shared" si="10"/>
        <v>65.337800000000001</v>
      </c>
      <c r="Z55" s="153">
        <f t="shared" si="1"/>
        <v>0</v>
      </c>
      <c r="AA55" s="248">
        <f t="shared" si="2"/>
        <v>0</v>
      </c>
      <c r="AB55" s="153">
        <f t="shared" si="11"/>
        <v>0</v>
      </c>
      <c r="AC55" s="248">
        <f t="shared" si="3"/>
        <v>0</v>
      </c>
      <c r="AD55" s="153">
        <f t="shared" si="4"/>
        <v>0</v>
      </c>
      <c r="AE55" s="248">
        <f t="shared" si="5"/>
        <v>0</v>
      </c>
      <c r="AF55" s="153">
        <f t="shared" si="12"/>
        <v>0</v>
      </c>
      <c r="AG55" s="248">
        <f t="shared" si="6"/>
        <v>0</v>
      </c>
      <c r="AH55" s="153">
        <f t="shared" si="13"/>
        <v>0</v>
      </c>
      <c r="AI55" s="153"/>
      <c r="AJ55" s="153">
        <f t="shared" si="14"/>
        <v>0</v>
      </c>
      <c r="AK55" s="153">
        <f t="shared" si="15"/>
        <v>0</v>
      </c>
      <c r="AL55" s="153"/>
      <c r="AM55" s="153"/>
      <c r="AN55" s="153"/>
      <c r="AQ55" s="153"/>
      <c r="AW55" s="129">
        <f t="shared" si="16"/>
        <v>0</v>
      </c>
    </row>
    <row r="56" spans="1:49" ht="9.75" thickBot="1" x14ac:dyDescent="0.2">
      <c r="A56" s="159"/>
      <c r="B56" s="160"/>
      <c r="C56" s="160"/>
      <c r="D56" s="154" t="str">
        <f t="shared" si="0"/>
        <v xml:space="preserve"> </v>
      </c>
      <c r="E56" s="162"/>
      <c r="F56" s="262">
        <v>0</v>
      </c>
      <c r="G56" s="162">
        <v>37</v>
      </c>
      <c r="H56" s="162">
        <v>37</v>
      </c>
      <c r="I56" s="162"/>
      <c r="J56" s="164"/>
      <c r="K56" s="162"/>
      <c r="L56" s="164"/>
      <c r="M56" s="164"/>
      <c r="N56" s="162"/>
      <c r="O56" s="162"/>
      <c r="P56" s="162"/>
      <c r="Q56" s="155">
        <f>AS56</f>
        <v>0</v>
      </c>
      <c r="R56" s="155">
        <f>AT56</f>
        <v>0</v>
      </c>
      <c r="S56" s="156">
        <f>AU56</f>
        <v>0</v>
      </c>
      <c r="U56" s="129">
        <f>IF(OR(C55=5,C56=5),0,1)</f>
        <v>1</v>
      </c>
      <c r="V56" s="129">
        <f t="shared" si="7"/>
        <v>0</v>
      </c>
      <c r="W56" s="129">
        <f t="shared" si="8"/>
        <v>0</v>
      </c>
      <c r="X56" s="129">
        <f t="shared" si="18"/>
        <v>0</v>
      </c>
      <c r="Y56" s="129">
        <f t="shared" si="10"/>
        <v>65.337800000000001</v>
      </c>
      <c r="Z56" s="153">
        <f t="shared" si="1"/>
        <v>0</v>
      </c>
      <c r="AA56" s="248">
        <f t="shared" si="2"/>
        <v>0</v>
      </c>
      <c r="AB56" s="153">
        <f t="shared" si="11"/>
        <v>0</v>
      </c>
      <c r="AC56" s="248">
        <f t="shared" si="3"/>
        <v>0</v>
      </c>
      <c r="AD56" s="153">
        <f t="shared" si="4"/>
        <v>0</v>
      </c>
      <c r="AE56" s="248">
        <f t="shared" si="5"/>
        <v>0</v>
      </c>
      <c r="AF56" s="153">
        <f t="shared" si="12"/>
        <v>0</v>
      </c>
      <c r="AG56" s="248">
        <f t="shared" si="6"/>
        <v>0</v>
      </c>
      <c r="AH56" s="153">
        <f t="shared" si="13"/>
        <v>0</v>
      </c>
      <c r="AI56" s="153"/>
      <c r="AJ56" s="153">
        <f t="shared" si="14"/>
        <v>0</v>
      </c>
      <c r="AK56" s="153">
        <f t="shared" si="15"/>
        <v>0</v>
      </c>
      <c r="AL56" s="153"/>
      <c r="AM56" s="153">
        <f>AK55*W55+AK56*W56</f>
        <v>0</v>
      </c>
      <c r="AN56" s="153">
        <f>(SUM(AD55:AG55)*W55+SUM(AD56:AG56)*W56)*12*VLOOKUP(C56,JNovergang,3,1)</f>
        <v>0</v>
      </c>
      <c r="AO56" s="153">
        <f>AM56-AN56</f>
        <v>0</v>
      </c>
      <c r="AP56" s="153">
        <f>M56*(100+X56)%</f>
        <v>0</v>
      </c>
      <c r="AQ56" s="248">
        <f>ROUND(M56*F56,2)</f>
        <v>0</v>
      </c>
      <c r="AS56" s="248">
        <f>ROUND((AP56+AQ56)+AM56*(N56/12),0)</f>
        <v>0</v>
      </c>
      <c r="AT56" s="248">
        <f>ROUND(AM56*(O56/12),0)</f>
        <v>0</v>
      </c>
      <c r="AU56" s="248">
        <f>ROUND(AM56*(P56/12)*U56,0)</f>
        <v>0</v>
      </c>
      <c r="AW56" s="129">
        <f t="shared" si="16"/>
        <v>0</v>
      </c>
    </row>
    <row r="57" spans="1:49" x14ac:dyDescent="0.15">
      <c r="A57" s="157"/>
      <c r="B57" s="158"/>
      <c r="C57" s="158"/>
      <c r="D57" s="149" t="str">
        <f t="shared" si="0"/>
        <v xml:space="preserve"> </v>
      </c>
      <c r="E57" s="161"/>
      <c r="F57" s="261">
        <v>0</v>
      </c>
      <c r="G57" s="161">
        <v>37</v>
      </c>
      <c r="H57" s="161">
        <v>37</v>
      </c>
      <c r="I57" s="161"/>
      <c r="J57" s="163"/>
      <c r="K57" s="161"/>
      <c r="L57" s="163"/>
      <c r="M57" s="150"/>
      <c r="N57" s="150"/>
      <c r="O57" s="150"/>
      <c r="P57" s="150"/>
      <c r="Q57" s="151"/>
      <c r="R57" s="151"/>
      <c r="S57" s="152"/>
      <c r="V57" s="129">
        <f t="shared" si="7"/>
        <v>0</v>
      </c>
      <c r="W57" s="129">
        <f t="shared" si="8"/>
        <v>0</v>
      </c>
      <c r="X57" s="129">
        <f t="shared" si="18"/>
        <v>0</v>
      </c>
      <c r="Y57" s="129">
        <f t="shared" si="10"/>
        <v>65.337800000000001</v>
      </c>
      <c r="Z57" s="153">
        <f t="shared" si="1"/>
        <v>0</v>
      </c>
      <c r="AA57" s="248">
        <f t="shared" si="2"/>
        <v>0</v>
      </c>
      <c r="AB57" s="153">
        <f t="shared" si="11"/>
        <v>0</v>
      </c>
      <c r="AC57" s="248">
        <f t="shared" si="3"/>
        <v>0</v>
      </c>
      <c r="AD57" s="153">
        <f t="shared" si="4"/>
        <v>0</v>
      </c>
      <c r="AE57" s="248">
        <f t="shared" si="5"/>
        <v>0</v>
      </c>
      <c r="AF57" s="153">
        <f t="shared" si="12"/>
        <v>0</v>
      </c>
      <c r="AG57" s="248">
        <f t="shared" si="6"/>
        <v>0</v>
      </c>
      <c r="AH57" s="153">
        <f t="shared" si="13"/>
        <v>0</v>
      </c>
      <c r="AI57" s="153"/>
      <c r="AJ57" s="153">
        <f t="shared" si="14"/>
        <v>0</v>
      </c>
      <c r="AK57" s="153">
        <f t="shared" si="15"/>
        <v>0</v>
      </c>
      <c r="AL57" s="153"/>
      <c r="AM57" s="153"/>
      <c r="AN57" s="153"/>
      <c r="AQ57" s="153"/>
      <c r="AW57" s="129">
        <f t="shared" si="16"/>
        <v>0</v>
      </c>
    </row>
    <row r="58" spans="1:49" ht="9.75" thickBot="1" x14ac:dyDescent="0.2">
      <c r="A58" s="159"/>
      <c r="B58" s="160"/>
      <c r="C58" s="160"/>
      <c r="D58" s="154" t="str">
        <f t="shared" si="0"/>
        <v xml:space="preserve"> </v>
      </c>
      <c r="E58" s="162"/>
      <c r="F58" s="262">
        <v>0</v>
      </c>
      <c r="G58" s="162">
        <v>37</v>
      </c>
      <c r="H58" s="162">
        <v>37</v>
      </c>
      <c r="I58" s="162"/>
      <c r="J58" s="164"/>
      <c r="K58" s="162"/>
      <c r="L58" s="164"/>
      <c r="M58" s="164"/>
      <c r="N58" s="162"/>
      <c r="O58" s="162"/>
      <c r="P58" s="162"/>
      <c r="Q58" s="155">
        <f>AS58</f>
        <v>0</v>
      </c>
      <c r="R58" s="155">
        <f>AT58</f>
        <v>0</v>
      </c>
      <c r="S58" s="156">
        <f>AU58</f>
        <v>0</v>
      </c>
      <c r="U58" s="129">
        <f>IF(OR(C57=5,C58=5),0,1)</f>
        <v>1</v>
      </c>
      <c r="V58" s="129">
        <f t="shared" si="7"/>
        <v>0</v>
      </c>
      <c r="W58" s="129">
        <f t="shared" si="8"/>
        <v>0</v>
      </c>
      <c r="X58" s="129">
        <f t="shared" si="18"/>
        <v>0</v>
      </c>
      <c r="Y58" s="129">
        <f t="shared" si="10"/>
        <v>65.337800000000001</v>
      </c>
      <c r="Z58" s="153">
        <f t="shared" si="1"/>
        <v>0</v>
      </c>
      <c r="AA58" s="248">
        <f t="shared" si="2"/>
        <v>0</v>
      </c>
      <c r="AB58" s="153">
        <f t="shared" si="11"/>
        <v>0</v>
      </c>
      <c r="AC58" s="248">
        <f t="shared" si="3"/>
        <v>0</v>
      </c>
      <c r="AD58" s="153">
        <f t="shared" si="4"/>
        <v>0</v>
      </c>
      <c r="AE58" s="248">
        <f t="shared" si="5"/>
        <v>0</v>
      </c>
      <c r="AF58" s="153">
        <f t="shared" si="12"/>
        <v>0</v>
      </c>
      <c r="AG58" s="248">
        <f t="shared" si="6"/>
        <v>0</v>
      </c>
      <c r="AH58" s="153">
        <f t="shared" si="13"/>
        <v>0</v>
      </c>
      <c r="AI58" s="153"/>
      <c r="AJ58" s="153">
        <f t="shared" si="14"/>
        <v>0</v>
      </c>
      <c r="AK58" s="153">
        <f t="shared" si="15"/>
        <v>0</v>
      </c>
      <c r="AL58" s="153"/>
      <c r="AM58" s="153">
        <f>AK57*W57+AK58*W58</f>
        <v>0</v>
      </c>
      <c r="AN58" s="153">
        <f>(SUM(AD57:AG57)*W57+SUM(AD58:AG58)*W58)*12*VLOOKUP(C58,JNovergang,3,1)</f>
        <v>0</v>
      </c>
      <c r="AO58" s="153">
        <f>AM58-AN58</f>
        <v>0</v>
      </c>
      <c r="AP58" s="153">
        <f>M58*(100+X58)%</f>
        <v>0</v>
      </c>
      <c r="AQ58" s="248">
        <f>ROUND(M58*F58,2)</f>
        <v>0</v>
      </c>
      <c r="AS58" s="248">
        <f>ROUND((AP58+AQ58)+AM58*(N58/12),0)</f>
        <v>0</v>
      </c>
      <c r="AT58" s="248">
        <f>ROUND(AM58*(O58/12),0)</f>
        <v>0</v>
      </c>
      <c r="AU58" s="248">
        <f>ROUND(AM58*(P58/12)*U58,0)</f>
        <v>0</v>
      </c>
      <c r="AW58" s="129">
        <f t="shared" si="16"/>
        <v>0</v>
      </c>
    </row>
    <row r="59" spans="1:49" x14ac:dyDescent="0.15">
      <c r="A59" s="157"/>
      <c r="B59" s="158"/>
      <c r="C59" s="158"/>
      <c r="D59" s="149" t="str">
        <f t="shared" si="0"/>
        <v xml:space="preserve"> </v>
      </c>
      <c r="E59" s="161"/>
      <c r="F59" s="261">
        <v>0</v>
      </c>
      <c r="G59" s="161">
        <v>37</v>
      </c>
      <c r="H59" s="161">
        <v>37</v>
      </c>
      <c r="I59" s="161"/>
      <c r="J59" s="163"/>
      <c r="K59" s="161"/>
      <c r="L59" s="163"/>
      <c r="M59" s="150"/>
      <c r="N59" s="150"/>
      <c r="O59" s="150"/>
      <c r="P59" s="150"/>
      <c r="Q59" s="151"/>
      <c r="R59" s="151"/>
      <c r="S59" s="152"/>
      <c r="V59" s="129">
        <f t="shared" si="7"/>
        <v>0</v>
      </c>
      <c r="W59" s="129">
        <f t="shared" si="8"/>
        <v>0</v>
      </c>
      <c r="X59" s="129">
        <f t="shared" si="18"/>
        <v>0</v>
      </c>
      <c r="Y59" s="129">
        <f t="shared" si="10"/>
        <v>65.337800000000001</v>
      </c>
      <c r="Z59" s="153">
        <f t="shared" si="1"/>
        <v>0</v>
      </c>
      <c r="AA59" s="248">
        <f t="shared" si="2"/>
        <v>0</v>
      </c>
      <c r="AB59" s="153">
        <f t="shared" si="11"/>
        <v>0</v>
      </c>
      <c r="AC59" s="248">
        <f t="shared" si="3"/>
        <v>0</v>
      </c>
      <c r="AD59" s="153">
        <f t="shared" si="4"/>
        <v>0</v>
      </c>
      <c r="AE59" s="248">
        <f t="shared" si="5"/>
        <v>0</v>
      </c>
      <c r="AF59" s="153">
        <f t="shared" si="12"/>
        <v>0</v>
      </c>
      <c r="AG59" s="248">
        <f t="shared" si="6"/>
        <v>0</v>
      </c>
      <c r="AH59" s="153">
        <f t="shared" si="13"/>
        <v>0</v>
      </c>
      <c r="AI59" s="153"/>
      <c r="AJ59" s="153">
        <f t="shared" si="14"/>
        <v>0</v>
      </c>
      <c r="AK59" s="153">
        <f t="shared" si="15"/>
        <v>0</v>
      </c>
      <c r="AL59" s="153"/>
      <c r="AM59" s="153"/>
      <c r="AN59" s="153"/>
      <c r="AQ59" s="153"/>
      <c r="AW59" s="129">
        <f t="shared" si="16"/>
        <v>0</v>
      </c>
    </row>
    <row r="60" spans="1:49" ht="9.75" thickBot="1" x14ac:dyDescent="0.2">
      <c r="A60" s="159"/>
      <c r="B60" s="160"/>
      <c r="C60" s="160"/>
      <c r="D60" s="154" t="str">
        <f t="shared" si="0"/>
        <v xml:space="preserve"> </v>
      </c>
      <c r="E60" s="162"/>
      <c r="F60" s="262">
        <v>0</v>
      </c>
      <c r="G60" s="162">
        <v>37</v>
      </c>
      <c r="H60" s="162">
        <v>37</v>
      </c>
      <c r="I60" s="162"/>
      <c r="J60" s="164"/>
      <c r="K60" s="162"/>
      <c r="L60" s="164"/>
      <c r="M60" s="164"/>
      <c r="N60" s="162"/>
      <c r="O60" s="162"/>
      <c r="P60" s="162"/>
      <c r="Q60" s="155">
        <f>AS60</f>
        <v>0</v>
      </c>
      <c r="R60" s="155">
        <f>AT60</f>
        <v>0</v>
      </c>
      <c r="S60" s="156">
        <f>AU60</f>
        <v>0</v>
      </c>
      <c r="U60" s="129">
        <f>IF(OR(C59=5,C60=5),0,1)</f>
        <v>1</v>
      </c>
      <c r="V60" s="129">
        <f t="shared" si="7"/>
        <v>0</v>
      </c>
      <c r="W60" s="129">
        <f t="shared" si="8"/>
        <v>0</v>
      </c>
      <c r="X60" s="129">
        <f t="shared" si="18"/>
        <v>0</v>
      </c>
      <c r="Y60" s="129">
        <f t="shared" si="10"/>
        <v>65.337800000000001</v>
      </c>
      <c r="Z60" s="153">
        <f t="shared" si="1"/>
        <v>0</v>
      </c>
      <c r="AA60" s="248">
        <f t="shared" si="2"/>
        <v>0</v>
      </c>
      <c r="AB60" s="153">
        <f t="shared" si="11"/>
        <v>0</v>
      </c>
      <c r="AC60" s="248">
        <f t="shared" si="3"/>
        <v>0</v>
      </c>
      <c r="AD60" s="153">
        <f t="shared" si="4"/>
        <v>0</v>
      </c>
      <c r="AE60" s="248">
        <f t="shared" si="5"/>
        <v>0</v>
      </c>
      <c r="AF60" s="153">
        <f t="shared" si="12"/>
        <v>0</v>
      </c>
      <c r="AG60" s="248">
        <f t="shared" si="6"/>
        <v>0</v>
      </c>
      <c r="AH60" s="153">
        <f t="shared" si="13"/>
        <v>0</v>
      </c>
      <c r="AI60" s="153"/>
      <c r="AJ60" s="153">
        <f t="shared" si="14"/>
        <v>0</v>
      </c>
      <c r="AK60" s="153">
        <f t="shared" si="15"/>
        <v>0</v>
      </c>
      <c r="AL60" s="153"/>
      <c r="AM60" s="153">
        <f>AK59*W59+AK60*W60</f>
        <v>0</v>
      </c>
      <c r="AN60" s="153">
        <f>(SUM(AD59:AG59)*W59+SUM(AD60:AG60)*W60)*12*VLOOKUP(C60,JNovergang,3,1)</f>
        <v>0</v>
      </c>
      <c r="AO60" s="153">
        <f>AM60-AN60</f>
        <v>0</v>
      </c>
      <c r="AP60" s="153">
        <f>M60*(100+X60)%</f>
        <v>0</v>
      </c>
      <c r="AQ60" s="248">
        <f>ROUND(M60*F60,2)</f>
        <v>0</v>
      </c>
      <c r="AS60" s="248">
        <f>ROUND((AP60+AQ60)+AM60*(N60/12),0)</f>
        <v>0</v>
      </c>
      <c r="AT60" s="248">
        <f>ROUND(AM60*(O60/12),0)</f>
        <v>0</v>
      </c>
      <c r="AU60" s="248">
        <f>ROUND(AM60*(P60/12)*U60,0)</f>
        <v>0</v>
      </c>
      <c r="AW60" s="129">
        <f t="shared" si="16"/>
        <v>0</v>
      </c>
    </row>
    <row r="61" spans="1:49" x14ac:dyDescent="0.15">
      <c r="A61" s="157"/>
      <c r="B61" s="158"/>
      <c r="C61" s="158"/>
      <c r="D61" s="149" t="str">
        <f t="shared" si="0"/>
        <v xml:space="preserve"> </v>
      </c>
      <c r="E61" s="161"/>
      <c r="F61" s="261">
        <v>0</v>
      </c>
      <c r="G61" s="161">
        <v>37</v>
      </c>
      <c r="H61" s="161">
        <v>37</v>
      </c>
      <c r="I61" s="161"/>
      <c r="J61" s="163"/>
      <c r="K61" s="161"/>
      <c r="L61" s="163"/>
      <c r="M61" s="150"/>
      <c r="N61" s="150"/>
      <c r="O61" s="150"/>
      <c r="P61" s="150"/>
      <c r="Q61" s="151"/>
      <c r="R61" s="151"/>
      <c r="S61" s="152"/>
      <c r="V61" s="129">
        <f t="shared" si="7"/>
        <v>0</v>
      </c>
      <c r="W61" s="129">
        <f t="shared" si="8"/>
        <v>0</v>
      </c>
      <c r="X61" s="129">
        <f t="shared" si="18"/>
        <v>0</v>
      </c>
      <c r="Y61" s="129">
        <f t="shared" si="10"/>
        <v>65.337800000000001</v>
      </c>
      <c r="Z61" s="153">
        <f t="shared" si="1"/>
        <v>0</v>
      </c>
      <c r="AA61" s="248">
        <f t="shared" si="2"/>
        <v>0</v>
      </c>
      <c r="AB61" s="153">
        <f t="shared" si="11"/>
        <v>0</v>
      </c>
      <c r="AC61" s="248">
        <f t="shared" si="3"/>
        <v>0</v>
      </c>
      <c r="AD61" s="153">
        <f t="shared" si="4"/>
        <v>0</v>
      </c>
      <c r="AE61" s="248">
        <f t="shared" si="5"/>
        <v>0</v>
      </c>
      <c r="AF61" s="153">
        <f t="shared" si="12"/>
        <v>0</v>
      </c>
      <c r="AG61" s="248">
        <f t="shared" si="6"/>
        <v>0</v>
      </c>
      <c r="AH61" s="153">
        <f t="shared" si="13"/>
        <v>0</v>
      </c>
      <c r="AI61" s="153"/>
      <c r="AJ61" s="153">
        <f t="shared" si="14"/>
        <v>0</v>
      </c>
      <c r="AK61" s="153">
        <f t="shared" si="15"/>
        <v>0</v>
      </c>
      <c r="AL61" s="153"/>
      <c r="AM61" s="153"/>
      <c r="AN61" s="153"/>
      <c r="AQ61" s="153"/>
      <c r="AW61" s="129">
        <f t="shared" si="16"/>
        <v>0</v>
      </c>
    </row>
    <row r="62" spans="1:49" ht="9.75" thickBot="1" x14ac:dyDescent="0.2">
      <c r="A62" s="159"/>
      <c r="B62" s="160"/>
      <c r="C62" s="160"/>
      <c r="D62" s="154" t="str">
        <f t="shared" si="0"/>
        <v xml:space="preserve"> </v>
      </c>
      <c r="E62" s="162"/>
      <c r="F62" s="262">
        <v>0</v>
      </c>
      <c r="G62" s="162">
        <v>37</v>
      </c>
      <c r="H62" s="162">
        <v>37</v>
      </c>
      <c r="I62" s="162"/>
      <c r="J62" s="164"/>
      <c r="K62" s="162"/>
      <c r="L62" s="164"/>
      <c r="M62" s="164"/>
      <c r="N62" s="162"/>
      <c r="O62" s="162"/>
      <c r="P62" s="162"/>
      <c r="Q62" s="155">
        <f>AS62</f>
        <v>0</v>
      </c>
      <c r="R62" s="155">
        <f>AT62</f>
        <v>0</v>
      </c>
      <c r="S62" s="156">
        <f>AU62</f>
        <v>0</v>
      </c>
      <c r="U62" s="129">
        <f>IF(OR(C61=5,C62=5),0,1)</f>
        <v>1</v>
      </c>
      <c r="V62" s="129">
        <f t="shared" si="7"/>
        <v>0</v>
      </c>
      <c r="W62" s="129">
        <f t="shared" si="8"/>
        <v>0</v>
      </c>
      <c r="X62" s="129">
        <f t="shared" si="18"/>
        <v>0</v>
      </c>
      <c r="Y62" s="129">
        <f t="shared" si="10"/>
        <v>65.337800000000001</v>
      </c>
      <c r="Z62" s="153">
        <f t="shared" si="1"/>
        <v>0</v>
      </c>
      <c r="AA62" s="248">
        <f t="shared" si="2"/>
        <v>0</v>
      </c>
      <c r="AB62" s="153">
        <f t="shared" si="11"/>
        <v>0</v>
      </c>
      <c r="AC62" s="248">
        <f t="shared" si="3"/>
        <v>0</v>
      </c>
      <c r="AD62" s="153">
        <f t="shared" si="4"/>
        <v>0</v>
      </c>
      <c r="AE62" s="248">
        <f t="shared" si="5"/>
        <v>0</v>
      </c>
      <c r="AF62" s="153">
        <f t="shared" si="12"/>
        <v>0</v>
      </c>
      <c r="AG62" s="248">
        <f t="shared" si="6"/>
        <v>0</v>
      </c>
      <c r="AH62" s="153">
        <f t="shared" si="13"/>
        <v>0</v>
      </c>
      <c r="AI62" s="153"/>
      <c r="AJ62" s="153">
        <f t="shared" si="14"/>
        <v>0</v>
      </c>
      <c r="AK62" s="153">
        <f t="shared" si="15"/>
        <v>0</v>
      </c>
      <c r="AL62" s="153"/>
      <c r="AM62" s="153">
        <f>AK61*W61+AK62*W62</f>
        <v>0</v>
      </c>
      <c r="AN62" s="153">
        <f>(SUM(AD61:AG61)*W61+SUM(AD62:AG62)*W62)*12*VLOOKUP(C62,JNovergang,3,1)</f>
        <v>0</v>
      </c>
      <c r="AO62" s="153">
        <f>AM62-AN62</f>
        <v>0</v>
      </c>
      <c r="AP62" s="153">
        <f>M62*(100+X62)%</f>
        <v>0</v>
      </c>
      <c r="AQ62" s="248">
        <f>ROUND(M62*F62,2)</f>
        <v>0</v>
      </c>
      <c r="AS62" s="248">
        <f>ROUND((AP62+AQ62)+AM62*(N62/12),0)</f>
        <v>0</v>
      </c>
      <c r="AT62" s="248">
        <f>ROUND(AM62*(O62/12),0)</f>
        <v>0</v>
      </c>
      <c r="AU62" s="248">
        <f>ROUND(AM62*(P62/12)*U62,0)</f>
        <v>0</v>
      </c>
      <c r="AW62" s="129">
        <f t="shared" si="16"/>
        <v>0</v>
      </c>
    </row>
    <row r="63" spans="1:49" x14ac:dyDescent="0.15">
      <c r="A63" s="157"/>
      <c r="B63" s="158"/>
      <c r="C63" s="158"/>
      <c r="D63" s="149" t="str">
        <f t="shared" si="0"/>
        <v xml:space="preserve"> </v>
      </c>
      <c r="E63" s="161"/>
      <c r="F63" s="261">
        <v>0</v>
      </c>
      <c r="G63" s="161">
        <v>37</v>
      </c>
      <c r="H63" s="161">
        <v>37</v>
      </c>
      <c r="I63" s="161"/>
      <c r="J63" s="163"/>
      <c r="K63" s="161"/>
      <c r="L63" s="163"/>
      <c r="M63" s="150"/>
      <c r="N63" s="150"/>
      <c r="O63" s="150"/>
      <c r="P63" s="150"/>
      <c r="Q63" s="151"/>
      <c r="R63" s="151"/>
      <c r="S63" s="152"/>
      <c r="V63" s="129">
        <f t="shared" si="7"/>
        <v>0</v>
      </c>
      <c r="W63" s="129">
        <f t="shared" si="8"/>
        <v>0</v>
      </c>
      <c r="X63" s="129">
        <f t="shared" si="18"/>
        <v>0</v>
      </c>
      <c r="Y63" s="129">
        <f t="shared" si="10"/>
        <v>65.337800000000001</v>
      </c>
      <c r="Z63" s="153">
        <f t="shared" si="1"/>
        <v>0</v>
      </c>
      <c r="AA63" s="248">
        <f t="shared" si="2"/>
        <v>0</v>
      </c>
      <c r="AB63" s="153">
        <f t="shared" si="11"/>
        <v>0</v>
      </c>
      <c r="AC63" s="248">
        <f t="shared" si="3"/>
        <v>0</v>
      </c>
      <c r="AD63" s="153">
        <f t="shared" si="4"/>
        <v>0</v>
      </c>
      <c r="AE63" s="248">
        <f t="shared" si="5"/>
        <v>0</v>
      </c>
      <c r="AF63" s="153">
        <f t="shared" si="12"/>
        <v>0</v>
      </c>
      <c r="AG63" s="248">
        <f t="shared" si="6"/>
        <v>0</v>
      </c>
      <c r="AH63" s="153">
        <f t="shared" si="13"/>
        <v>0</v>
      </c>
      <c r="AI63" s="153"/>
      <c r="AJ63" s="153">
        <f t="shared" si="14"/>
        <v>0</v>
      </c>
      <c r="AK63" s="153">
        <f t="shared" si="15"/>
        <v>0</v>
      </c>
      <c r="AL63" s="153"/>
      <c r="AM63" s="153"/>
      <c r="AN63" s="153"/>
      <c r="AQ63" s="153"/>
      <c r="AW63" s="129">
        <f t="shared" si="16"/>
        <v>0</v>
      </c>
    </row>
    <row r="64" spans="1:49" ht="9.75" thickBot="1" x14ac:dyDescent="0.2">
      <c r="A64" s="159"/>
      <c r="B64" s="160"/>
      <c r="C64" s="160"/>
      <c r="D64" s="154" t="str">
        <f t="shared" si="0"/>
        <v xml:space="preserve"> </v>
      </c>
      <c r="E64" s="162"/>
      <c r="F64" s="262">
        <v>0</v>
      </c>
      <c r="G64" s="162">
        <v>37</v>
      </c>
      <c r="H64" s="162">
        <v>37</v>
      </c>
      <c r="I64" s="162"/>
      <c r="J64" s="164"/>
      <c r="K64" s="162"/>
      <c r="L64" s="164"/>
      <c r="M64" s="164"/>
      <c r="N64" s="162"/>
      <c r="O64" s="162"/>
      <c r="P64" s="162"/>
      <c r="Q64" s="155">
        <f>AS64</f>
        <v>0</v>
      </c>
      <c r="R64" s="155">
        <f>AT64</f>
        <v>0</v>
      </c>
      <c r="S64" s="156">
        <f>AU64</f>
        <v>0</v>
      </c>
      <c r="U64" s="129">
        <f>IF(OR(C63=5,C64=5),0,1)</f>
        <v>1</v>
      </c>
      <c r="V64" s="129">
        <f t="shared" si="7"/>
        <v>0</v>
      </c>
      <c r="W64" s="129">
        <f t="shared" si="8"/>
        <v>0</v>
      </c>
      <c r="X64" s="129">
        <f t="shared" si="18"/>
        <v>0</v>
      </c>
      <c r="Y64" s="129">
        <f t="shared" si="10"/>
        <v>65.337800000000001</v>
      </c>
      <c r="Z64" s="153">
        <f t="shared" si="1"/>
        <v>0</v>
      </c>
      <c r="AA64" s="248">
        <f t="shared" si="2"/>
        <v>0</v>
      </c>
      <c r="AB64" s="153">
        <f t="shared" si="11"/>
        <v>0</v>
      </c>
      <c r="AC64" s="248">
        <f t="shared" si="3"/>
        <v>0</v>
      </c>
      <c r="AD64" s="153">
        <f t="shared" si="4"/>
        <v>0</v>
      </c>
      <c r="AE64" s="248">
        <f t="shared" si="5"/>
        <v>0</v>
      </c>
      <c r="AF64" s="153">
        <f t="shared" si="12"/>
        <v>0</v>
      </c>
      <c r="AG64" s="248">
        <f t="shared" si="6"/>
        <v>0</v>
      </c>
      <c r="AH64" s="153">
        <f t="shared" si="13"/>
        <v>0</v>
      </c>
      <c r="AI64" s="153"/>
      <c r="AJ64" s="153">
        <f t="shared" si="14"/>
        <v>0</v>
      </c>
      <c r="AK64" s="153">
        <f t="shared" si="15"/>
        <v>0</v>
      </c>
      <c r="AL64" s="153"/>
      <c r="AM64" s="153">
        <f>AK63*W63+AK64*W64</f>
        <v>0</v>
      </c>
      <c r="AN64" s="153">
        <f>(SUM(AD63:AG63)*W63+SUM(AD64:AG64)*W64)*12*VLOOKUP(C64,JNovergang,3,1)</f>
        <v>0</v>
      </c>
      <c r="AO64" s="153">
        <f>AM64-AN64</f>
        <v>0</v>
      </c>
      <c r="AP64" s="153">
        <f>M64*(100+X64)%</f>
        <v>0</v>
      </c>
      <c r="AQ64" s="248">
        <f>ROUND(M64*F64,2)</f>
        <v>0</v>
      </c>
      <c r="AS64" s="248">
        <f>ROUND((AP64+AQ64)+AM64*(N64/12),0)</f>
        <v>0</v>
      </c>
      <c r="AT64" s="248">
        <f>ROUND(AM64*(O64/12),0)</f>
        <v>0</v>
      </c>
      <c r="AU64" s="248">
        <f>ROUND(AM64*(P64/12)*U64,0)</f>
        <v>0</v>
      </c>
      <c r="AW64" s="129">
        <f t="shared" si="16"/>
        <v>0</v>
      </c>
    </row>
    <row r="65" spans="1:49" x14ac:dyDescent="0.15">
      <c r="A65" s="157"/>
      <c r="B65" s="158"/>
      <c r="C65" s="158"/>
      <c r="D65" s="149" t="str">
        <f t="shared" si="0"/>
        <v xml:space="preserve"> </v>
      </c>
      <c r="E65" s="161"/>
      <c r="F65" s="261">
        <v>0</v>
      </c>
      <c r="G65" s="161">
        <v>37</v>
      </c>
      <c r="H65" s="161">
        <v>37</v>
      </c>
      <c r="I65" s="161"/>
      <c r="J65" s="163"/>
      <c r="K65" s="161"/>
      <c r="L65" s="163"/>
      <c r="M65" s="150"/>
      <c r="N65" s="150"/>
      <c r="O65" s="150"/>
      <c r="P65" s="150"/>
      <c r="Q65" s="151"/>
      <c r="R65" s="151"/>
      <c r="S65" s="152"/>
      <c r="V65" s="129">
        <f t="shared" si="7"/>
        <v>0</v>
      </c>
      <c r="W65" s="129">
        <f t="shared" si="8"/>
        <v>0</v>
      </c>
      <c r="X65" s="129">
        <f t="shared" si="18"/>
        <v>0</v>
      </c>
      <c r="Y65" s="129">
        <f t="shared" si="10"/>
        <v>65.337800000000001</v>
      </c>
      <c r="Z65" s="153">
        <f t="shared" si="1"/>
        <v>0</v>
      </c>
      <c r="AA65" s="248">
        <f t="shared" si="2"/>
        <v>0</v>
      </c>
      <c r="AB65" s="153">
        <f t="shared" si="11"/>
        <v>0</v>
      </c>
      <c r="AC65" s="248">
        <f t="shared" si="3"/>
        <v>0</v>
      </c>
      <c r="AD65" s="153">
        <f t="shared" si="4"/>
        <v>0</v>
      </c>
      <c r="AE65" s="248">
        <f t="shared" si="5"/>
        <v>0</v>
      </c>
      <c r="AF65" s="153">
        <f t="shared" si="12"/>
        <v>0</v>
      </c>
      <c r="AG65" s="248">
        <f t="shared" si="6"/>
        <v>0</v>
      </c>
      <c r="AH65" s="153">
        <f t="shared" si="13"/>
        <v>0</v>
      </c>
      <c r="AI65" s="153"/>
      <c r="AJ65" s="153">
        <f t="shared" si="14"/>
        <v>0</v>
      </c>
      <c r="AK65" s="153">
        <f t="shared" si="15"/>
        <v>0</v>
      </c>
      <c r="AL65" s="153"/>
      <c r="AM65" s="153"/>
      <c r="AN65" s="153"/>
      <c r="AQ65" s="153"/>
      <c r="AW65" s="129">
        <f t="shared" si="16"/>
        <v>0</v>
      </c>
    </row>
    <row r="66" spans="1:49" ht="9.75" thickBot="1" x14ac:dyDescent="0.2">
      <c r="A66" s="159"/>
      <c r="B66" s="160"/>
      <c r="C66" s="160"/>
      <c r="D66" s="154" t="str">
        <f t="shared" si="0"/>
        <v xml:space="preserve"> </v>
      </c>
      <c r="E66" s="162"/>
      <c r="F66" s="262">
        <v>0</v>
      </c>
      <c r="G66" s="162">
        <v>37</v>
      </c>
      <c r="H66" s="162">
        <v>37</v>
      </c>
      <c r="I66" s="162"/>
      <c r="J66" s="164"/>
      <c r="K66" s="162"/>
      <c r="L66" s="164"/>
      <c r="M66" s="164"/>
      <c r="N66" s="162"/>
      <c r="O66" s="162"/>
      <c r="P66" s="162"/>
      <c r="Q66" s="155">
        <f>AS66</f>
        <v>0</v>
      </c>
      <c r="R66" s="155">
        <f>AT66</f>
        <v>0</v>
      </c>
      <c r="S66" s="156">
        <f>AU66</f>
        <v>0</v>
      </c>
      <c r="U66" s="129">
        <f>IF(OR(C65=5,C66=5),0,1)</f>
        <v>1</v>
      </c>
      <c r="V66" s="129">
        <f t="shared" si="7"/>
        <v>0</v>
      </c>
      <c r="W66" s="129">
        <f t="shared" si="8"/>
        <v>0</v>
      </c>
      <c r="X66" s="129">
        <f t="shared" si="18"/>
        <v>0</v>
      </c>
      <c r="Y66" s="129">
        <f t="shared" si="10"/>
        <v>65.337800000000001</v>
      </c>
      <c r="Z66" s="153">
        <f t="shared" si="1"/>
        <v>0</v>
      </c>
      <c r="AA66" s="248">
        <f t="shared" si="2"/>
        <v>0</v>
      </c>
      <c r="AB66" s="153">
        <f t="shared" si="11"/>
        <v>0</v>
      </c>
      <c r="AC66" s="248">
        <f t="shared" si="3"/>
        <v>0</v>
      </c>
      <c r="AD66" s="153">
        <f t="shared" si="4"/>
        <v>0</v>
      </c>
      <c r="AE66" s="248">
        <f t="shared" si="5"/>
        <v>0</v>
      </c>
      <c r="AF66" s="153">
        <f t="shared" si="12"/>
        <v>0</v>
      </c>
      <c r="AG66" s="248">
        <f t="shared" si="6"/>
        <v>0</v>
      </c>
      <c r="AH66" s="153">
        <f t="shared" si="13"/>
        <v>0</v>
      </c>
      <c r="AI66" s="153"/>
      <c r="AJ66" s="153">
        <f t="shared" si="14"/>
        <v>0</v>
      </c>
      <c r="AK66" s="153">
        <f t="shared" si="15"/>
        <v>0</v>
      </c>
      <c r="AL66" s="153"/>
      <c r="AM66" s="153">
        <f>AK65*W65+AK66*W66</f>
        <v>0</v>
      </c>
      <c r="AN66" s="153">
        <f>(SUM(AD65:AG65)*W65+SUM(AD66:AG66)*W66)*12*VLOOKUP(C66,JNovergang,3,1)</f>
        <v>0</v>
      </c>
      <c r="AO66" s="153">
        <f>AM66-AN66</f>
        <v>0</v>
      </c>
      <c r="AP66" s="153">
        <f>M66*(100+X66)%</f>
        <v>0</v>
      </c>
      <c r="AQ66" s="248">
        <f>ROUND(M66*F66,2)</f>
        <v>0</v>
      </c>
      <c r="AS66" s="248">
        <f>ROUND((AP66+AQ66)+AM66*(N66/12),0)</f>
        <v>0</v>
      </c>
      <c r="AT66" s="248">
        <f>ROUND(AM66*(O66/12),0)</f>
        <v>0</v>
      </c>
      <c r="AU66" s="248">
        <f>ROUND(AM66*(P66/12)*U66,0)</f>
        <v>0</v>
      </c>
      <c r="AW66" s="129">
        <f t="shared" si="16"/>
        <v>0</v>
      </c>
    </row>
    <row r="67" spans="1:49" x14ac:dyDescent="0.15">
      <c r="A67" s="157"/>
      <c r="B67" s="158"/>
      <c r="C67" s="158"/>
      <c r="D67" s="149" t="str">
        <f t="shared" si="0"/>
        <v xml:space="preserve"> </v>
      </c>
      <c r="E67" s="161"/>
      <c r="F67" s="261">
        <v>0</v>
      </c>
      <c r="G67" s="161">
        <v>37</v>
      </c>
      <c r="H67" s="161">
        <v>37</v>
      </c>
      <c r="I67" s="161"/>
      <c r="J67" s="163"/>
      <c r="K67" s="161"/>
      <c r="L67" s="163"/>
      <c r="M67" s="150"/>
      <c r="N67" s="150"/>
      <c r="O67" s="150"/>
      <c r="P67" s="150"/>
      <c r="Q67" s="151"/>
      <c r="R67" s="151"/>
      <c r="S67" s="152"/>
      <c r="V67" s="129">
        <f t="shared" si="7"/>
        <v>0</v>
      </c>
      <c r="W67" s="129">
        <f t="shared" si="8"/>
        <v>0</v>
      </c>
      <c r="X67" s="129">
        <f t="shared" si="18"/>
        <v>0</v>
      </c>
      <c r="Y67" s="129">
        <f t="shared" si="10"/>
        <v>65.337800000000001</v>
      </c>
      <c r="Z67" s="153">
        <f t="shared" si="1"/>
        <v>0</v>
      </c>
      <c r="AA67" s="248">
        <f t="shared" si="2"/>
        <v>0</v>
      </c>
      <c r="AB67" s="153">
        <f t="shared" si="11"/>
        <v>0</v>
      </c>
      <c r="AC67" s="248">
        <f t="shared" si="3"/>
        <v>0</v>
      </c>
      <c r="AD67" s="153">
        <f t="shared" si="4"/>
        <v>0</v>
      </c>
      <c r="AE67" s="248">
        <f t="shared" si="5"/>
        <v>0</v>
      </c>
      <c r="AF67" s="153">
        <f t="shared" si="12"/>
        <v>0</v>
      </c>
      <c r="AG67" s="248">
        <f t="shared" si="6"/>
        <v>0</v>
      </c>
      <c r="AH67" s="153">
        <f t="shared" si="13"/>
        <v>0</v>
      </c>
      <c r="AI67" s="153"/>
      <c r="AJ67" s="153">
        <f t="shared" si="14"/>
        <v>0</v>
      </c>
      <c r="AK67" s="153">
        <f t="shared" si="15"/>
        <v>0</v>
      </c>
      <c r="AL67" s="153"/>
      <c r="AM67" s="153"/>
      <c r="AN67" s="153"/>
      <c r="AQ67" s="153"/>
      <c r="AW67" s="129">
        <f t="shared" si="16"/>
        <v>0</v>
      </c>
    </row>
    <row r="68" spans="1:49" ht="9.75" thickBot="1" x14ac:dyDescent="0.2">
      <c r="A68" s="159"/>
      <c r="B68" s="160"/>
      <c r="C68" s="160"/>
      <c r="D68" s="154" t="str">
        <f t="shared" si="0"/>
        <v xml:space="preserve"> </v>
      </c>
      <c r="E68" s="162"/>
      <c r="F68" s="262">
        <v>0</v>
      </c>
      <c r="G68" s="162">
        <v>37</v>
      </c>
      <c r="H68" s="162">
        <v>37</v>
      </c>
      <c r="I68" s="162"/>
      <c r="J68" s="164"/>
      <c r="K68" s="162"/>
      <c r="L68" s="164"/>
      <c r="M68" s="164"/>
      <c r="N68" s="162"/>
      <c r="O68" s="162"/>
      <c r="P68" s="162"/>
      <c r="Q68" s="155">
        <f>AS68</f>
        <v>0</v>
      </c>
      <c r="R68" s="155">
        <f>AT68</f>
        <v>0</v>
      </c>
      <c r="S68" s="156">
        <f>AU68</f>
        <v>0</v>
      </c>
      <c r="U68" s="129">
        <f>IF(OR(C67=5,C68=5),0,1)</f>
        <v>1</v>
      </c>
      <c r="V68" s="129">
        <f t="shared" si="7"/>
        <v>0</v>
      </c>
      <c r="W68" s="129">
        <f t="shared" si="8"/>
        <v>0</v>
      </c>
      <c r="X68" s="129">
        <f t="shared" si="18"/>
        <v>0</v>
      </c>
      <c r="Y68" s="129">
        <f t="shared" si="10"/>
        <v>65.337800000000001</v>
      </c>
      <c r="Z68" s="153">
        <f t="shared" si="1"/>
        <v>0</v>
      </c>
      <c r="AA68" s="248">
        <f t="shared" si="2"/>
        <v>0</v>
      </c>
      <c r="AB68" s="153">
        <f t="shared" si="11"/>
        <v>0</v>
      </c>
      <c r="AC68" s="248">
        <f t="shared" si="3"/>
        <v>0</v>
      </c>
      <c r="AD68" s="153">
        <f t="shared" si="4"/>
        <v>0</v>
      </c>
      <c r="AE68" s="248">
        <f t="shared" si="5"/>
        <v>0</v>
      </c>
      <c r="AF68" s="153">
        <f t="shared" si="12"/>
        <v>0</v>
      </c>
      <c r="AG68" s="248">
        <f t="shared" si="6"/>
        <v>0</v>
      </c>
      <c r="AH68" s="153">
        <f t="shared" si="13"/>
        <v>0</v>
      </c>
      <c r="AI68" s="153"/>
      <c r="AJ68" s="153">
        <f t="shared" si="14"/>
        <v>0</v>
      </c>
      <c r="AK68" s="153">
        <f t="shared" si="15"/>
        <v>0</v>
      </c>
      <c r="AL68" s="153"/>
      <c r="AM68" s="153">
        <f>AK67*W67+AK68*W68</f>
        <v>0</v>
      </c>
      <c r="AN68" s="153">
        <f>(SUM(AD67:AG67)*W67+SUM(AD68:AG68)*W68)*12*VLOOKUP(C68,JNovergang,3,1)</f>
        <v>0</v>
      </c>
      <c r="AO68" s="153">
        <f>AM68-AN68</f>
        <v>0</v>
      </c>
      <c r="AP68" s="153">
        <f>M68*(100+X68)%</f>
        <v>0</v>
      </c>
      <c r="AQ68" s="248">
        <f>ROUND(M68*F68,2)</f>
        <v>0</v>
      </c>
      <c r="AS68" s="248">
        <f>ROUND((AP68+AQ68)+AM68*(N68/12),0)</f>
        <v>0</v>
      </c>
      <c r="AT68" s="248">
        <f>ROUND(AM68*(O68/12),0)</f>
        <v>0</v>
      </c>
      <c r="AU68" s="248">
        <f>ROUND(AM68*(P68/12)*U68,0)</f>
        <v>0</v>
      </c>
      <c r="AW68" s="129">
        <f t="shared" si="16"/>
        <v>0</v>
      </c>
    </row>
    <row r="69" spans="1:49" x14ac:dyDescent="0.15">
      <c r="A69" s="157"/>
      <c r="B69" s="158"/>
      <c r="C69" s="158"/>
      <c r="D69" s="149" t="str">
        <f t="shared" si="0"/>
        <v xml:space="preserve"> </v>
      </c>
      <c r="E69" s="161"/>
      <c r="F69" s="261">
        <v>0</v>
      </c>
      <c r="G69" s="161">
        <v>37</v>
      </c>
      <c r="H69" s="161">
        <v>37</v>
      </c>
      <c r="I69" s="161"/>
      <c r="J69" s="163"/>
      <c r="K69" s="161"/>
      <c r="L69" s="163"/>
      <c r="M69" s="150"/>
      <c r="N69" s="150"/>
      <c r="O69" s="150"/>
      <c r="P69" s="150"/>
      <c r="Q69" s="151"/>
      <c r="R69" s="151"/>
      <c r="S69" s="152"/>
      <c r="V69" s="129">
        <f t="shared" si="7"/>
        <v>0</v>
      </c>
      <c r="W69" s="129">
        <f t="shared" si="8"/>
        <v>0</v>
      </c>
      <c r="X69" s="129">
        <f t="shared" si="18"/>
        <v>0</v>
      </c>
      <c r="Y69" s="129">
        <f t="shared" si="10"/>
        <v>65.337800000000001</v>
      </c>
      <c r="Z69" s="153">
        <f t="shared" si="1"/>
        <v>0</v>
      </c>
      <c r="AA69" s="248">
        <f t="shared" si="2"/>
        <v>0</v>
      </c>
      <c r="AB69" s="153">
        <f t="shared" si="11"/>
        <v>0</v>
      </c>
      <c r="AC69" s="248">
        <f t="shared" si="3"/>
        <v>0</v>
      </c>
      <c r="AD69" s="153">
        <f t="shared" si="4"/>
        <v>0</v>
      </c>
      <c r="AE69" s="248">
        <f t="shared" si="5"/>
        <v>0</v>
      </c>
      <c r="AF69" s="153">
        <f t="shared" si="12"/>
        <v>0</v>
      </c>
      <c r="AG69" s="248">
        <f t="shared" si="6"/>
        <v>0</v>
      </c>
      <c r="AH69" s="153">
        <f t="shared" si="13"/>
        <v>0</v>
      </c>
      <c r="AI69" s="153"/>
      <c r="AJ69" s="153">
        <f t="shared" si="14"/>
        <v>0</v>
      </c>
      <c r="AK69" s="153">
        <f t="shared" si="15"/>
        <v>0</v>
      </c>
      <c r="AL69" s="153"/>
      <c r="AM69" s="153"/>
      <c r="AN69" s="153"/>
      <c r="AQ69" s="153"/>
      <c r="AW69" s="129">
        <f t="shared" si="16"/>
        <v>0</v>
      </c>
    </row>
    <row r="70" spans="1:49" ht="9.75" thickBot="1" x14ac:dyDescent="0.2">
      <c r="A70" s="159"/>
      <c r="B70" s="160"/>
      <c r="C70" s="160"/>
      <c r="D70" s="154" t="str">
        <f t="shared" si="0"/>
        <v xml:space="preserve"> </v>
      </c>
      <c r="E70" s="162"/>
      <c r="F70" s="262">
        <v>0</v>
      </c>
      <c r="G70" s="162">
        <v>37</v>
      </c>
      <c r="H70" s="162">
        <v>37</v>
      </c>
      <c r="I70" s="162"/>
      <c r="J70" s="164"/>
      <c r="K70" s="162"/>
      <c r="L70" s="164"/>
      <c r="M70" s="164"/>
      <c r="N70" s="162"/>
      <c r="O70" s="162"/>
      <c r="P70" s="162"/>
      <c r="Q70" s="155">
        <f>AS70</f>
        <v>0</v>
      </c>
      <c r="R70" s="155">
        <f>AT70</f>
        <v>0</v>
      </c>
      <c r="S70" s="156">
        <f>AU70</f>
        <v>0</v>
      </c>
      <c r="U70" s="129">
        <f>IF(OR(C69=5,C70=5),0,1)</f>
        <v>1</v>
      </c>
      <c r="V70" s="129">
        <f t="shared" si="7"/>
        <v>0</v>
      </c>
      <c r="W70" s="129">
        <f t="shared" si="8"/>
        <v>0</v>
      </c>
      <c r="X70" s="129">
        <f t="shared" si="18"/>
        <v>0</v>
      </c>
      <c r="Y70" s="129">
        <f t="shared" si="10"/>
        <v>65.337800000000001</v>
      </c>
      <c r="Z70" s="153">
        <f t="shared" si="1"/>
        <v>0</v>
      </c>
      <c r="AA70" s="248">
        <f t="shared" si="2"/>
        <v>0</v>
      </c>
      <c r="AB70" s="153">
        <f t="shared" si="11"/>
        <v>0</v>
      </c>
      <c r="AC70" s="248">
        <f t="shared" si="3"/>
        <v>0</v>
      </c>
      <c r="AD70" s="153">
        <f t="shared" si="4"/>
        <v>0</v>
      </c>
      <c r="AE70" s="248">
        <f t="shared" si="5"/>
        <v>0</v>
      </c>
      <c r="AF70" s="153">
        <f t="shared" si="12"/>
        <v>0</v>
      </c>
      <c r="AG70" s="248">
        <f t="shared" si="6"/>
        <v>0</v>
      </c>
      <c r="AH70" s="153">
        <f t="shared" si="13"/>
        <v>0</v>
      </c>
      <c r="AI70" s="153"/>
      <c r="AJ70" s="153">
        <f t="shared" si="14"/>
        <v>0</v>
      </c>
      <c r="AK70" s="153">
        <f t="shared" si="15"/>
        <v>0</v>
      </c>
      <c r="AL70" s="153"/>
      <c r="AM70" s="153">
        <f>AK69*W69+AK70*W70</f>
        <v>0</v>
      </c>
      <c r="AN70" s="153">
        <f>(SUM(AD69:AG69)*W69+SUM(AD70:AG70)*W70)*12*VLOOKUP(C70,JNovergang,3,1)</f>
        <v>0</v>
      </c>
      <c r="AO70" s="153">
        <f>AM70-AN70</f>
        <v>0</v>
      </c>
      <c r="AP70" s="153">
        <f>M70*(100+X70)%</f>
        <v>0</v>
      </c>
      <c r="AQ70" s="248">
        <f>ROUND(M70*F70,2)</f>
        <v>0</v>
      </c>
      <c r="AS70" s="248">
        <f>ROUND((AP70+AQ70)+AM70*(N70/12),0)</f>
        <v>0</v>
      </c>
      <c r="AT70" s="248">
        <f>ROUND(AM70*(O70/12),0)</f>
        <v>0</v>
      </c>
      <c r="AU70" s="248">
        <f>ROUND(AM70*(P70/12)*U70,0)</f>
        <v>0</v>
      </c>
      <c r="AW70" s="129">
        <f t="shared" si="16"/>
        <v>0</v>
      </c>
    </row>
    <row r="71" spans="1:49" x14ac:dyDescent="0.15">
      <c r="A71" s="157"/>
      <c r="B71" s="158"/>
      <c r="C71" s="158"/>
      <c r="D71" s="149" t="str">
        <f t="shared" si="0"/>
        <v xml:space="preserve"> </v>
      </c>
      <c r="E71" s="161"/>
      <c r="F71" s="261">
        <v>0</v>
      </c>
      <c r="G71" s="161">
        <v>37</v>
      </c>
      <c r="H71" s="161">
        <v>37</v>
      </c>
      <c r="I71" s="161"/>
      <c r="J71" s="163"/>
      <c r="K71" s="161"/>
      <c r="L71" s="163"/>
      <c r="M71" s="150"/>
      <c r="N71" s="150"/>
      <c r="O71" s="150"/>
      <c r="P71" s="150"/>
      <c r="Q71" s="151"/>
      <c r="R71" s="151"/>
      <c r="S71" s="152"/>
      <c r="V71" s="129">
        <f t="shared" si="7"/>
        <v>0</v>
      </c>
      <c r="W71" s="129">
        <f t="shared" si="8"/>
        <v>0</v>
      </c>
      <c r="X71" s="129">
        <f t="shared" si="18"/>
        <v>0</v>
      </c>
      <c r="Y71" s="129">
        <f t="shared" si="10"/>
        <v>65.337800000000001</v>
      </c>
      <c r="Z71" s="153">
        <f t="shared" si="1"/>
        <v>0</v>
      </c>
      <c r="AA71" s="248">
        <f t="shared" si="2"/>
        <v>0</v>
      </c>
      <c r="AB71" s="153">
        <f t="shared" si="11"/>
        <v>0</v>
      </c>
      <c r="AC71" s="248">
        <f t="shared" si="3"/>
        <v>0</v>
      </c>
      <c r="AD71" s="153">
        <f t="shared" si="4"/>
        <v>0</v>
      </c>
      <c r="AE71" s="248">
        <f t="shared" si="5"/>
        <v>0</v>
      </c>
      <c r="AF71" s="153">
        <f t="shared" si="12"/>
        <v>0</v>
      </c>
      <c r="AG71" s="248">
        <f t="shared" si="6"/>
        <v>0</v>
      </c>
      <c r="AH71" s="153">
        <f t="shared" si="13"/>
        <v>0</v>
      </c>
      <c r="AI71" s="153"/>
      <c r="AJ71" s="153">
        <f t="shared" si="14"/>
        <v>0</v>
      </c>
      <c r="AK71" s="153">
        <f t="shared" si="15"/>
        <v>0</v>
      </c>
      <c r="AL71" s="153"/>
      <c r="AM71" s="153"/>
      <c r="AN71" s="153"/>
      <c r="AQ71" s="153"/>
      <c r="AW71" s="129">
        <f t="shared" si="16"/>
        <v>0</v>
      </c>
    </row>
    <row r="72" spans="1:49" ht="9.75" thickBot="1" x14ac:dyDescent="0.2">
      <c r="A72" s="159"/>
      <c r="B72" s="160"/>
      <c r="C72" s="160"/>
      <c r="D72" s="154" t="str">
        <f t="shared" si="0"/>
        <v xml:space="preserve"> </v>
      </c>
      <c r="E72" s="162"/>
      <c r="F72" s="262">
        <v>0</v>
      </c>
      <c r="G72" s="162">
        <v>37</v>
      </c>
      <c r="H72" s="162">
        <v>37</v>
      </c>
      <c r="I72" s="162"/>
      <c r="J72" s="164"/>
      <c r="K72" s="162"/>
      <c r="L72" s="164"/>
      <c r="M72" s="164"/>
      <c r="N72" s="162"/>
      <c r="O72" s="162"/>
      <c r="P72" s="162"/>
      <c r="Q72" s="155">
        <f>AS72</f>
        <v>0</v>
      </c>
      <c r="R72" s="155">
        <f>AT72</f>
        <v>0</v>
      </c>
      <c r="S72" s="156">
        <f>AU72</f>
        <v>0</v>
      </c>
      <c r="U72" s="129">
        <f>IF(OR(C71=5,C72=5),0,1)</f>
        <v>1</v>
      </c>
      <c r="V72" s="129">
        <f t="shared" si="7"/>
        <v>0</v>
      </c>
      <c r="W72" s="129">
        <f t="shared" si="8"/>
        <v>0</v>
      </c>
      <c r="X72" s="129">
        <f t="shared" si="18"/>
        <v>0</v>
      </c>
      <c r="Y72" s="129">
        <f t="shared" si="10"/>
        <v>65.337800000000001</v>
      </c>
      <c r="Z72" s="153">
        <f t="shared" si="1"/>
        <v>0</v>
      </c>
      <c r="AA72" s="248">
        <f t="shared" si="2"/>
        <v>0</v>
      </c>
      <c r="AB72" s="153">
        <f t="shared" si="11"/>
        <v>0</v>
      </c>
      <c r="AC72" s="248">
        <f t="shared" si="3"/>
        <v>0</v>
      </c>
      <c r="AD72" s="153">
        <f t="shared" si="4"/>
        <v>0</v>
      </c>
      <c r="AE72" s="248">
        <f t="shared" si="5"/>
        <v>0</v>
      </c>
      <c r="AF72" s="153">
        <f t="shared" si="12"/>
        <v>0</v>
      </c>
      <c r="AG72" s="248">
        <f t="shared" si="6"/>
        <v>0</v>
      </c>
      <c r="AH72" s="153">
        <f t="shared" si="13"/>
        <v>0</v>
      </c>
      <c r="AI72" s="153"/>
      <c r="AJ72" s="153">
        <f t="shared" si="14"/>
        <v>0</v>
      </c>
      <c r="AK72" s="153">
        <f t="shared" si="15"/>
        <v>0</v>
      </c>
      <c r="AL72" s="153"/>
      <c r="AM72" s="153">
        <f>AK71*W71+AK72*W72</f>
        <v>0</v>
      </c>
      <c r="AN72" s="153">
        <f>(SUM(AD71:AG71)*W71+SUM(AD72:AG72)*W72)*12*VLOOKUP(C72,JNovergang,3,1)</f>
        <v>0</v>
      </c>
      <c r="AO72" s="153">
        <f>AM72-AN72</f>
        <v>0</v>
      </c>
      <c r="AP72" s="153">
        <f>M72*(100+X72)%</f>
        <v>0</v>
      </c>
      <c r="AQ72" s="248">
        <f>ROUND(M72*F72,2)</f>
        <v>0</v>
      </c>
      <c r="AS72" s="248">
        <f>ROUND((AP72+AQ72)+AM72*(N72/12),0)</f>
        <v>0</v>
      </c>
      <c r="AT72" s="248">
        <f>ROUND(AM72*(O72/12),0)</f>
        <v>0</v>
      </c>
      <c r="AU72" s="248">
        <f>ROUND(AM72*(P72/12)*U72,0)</f>
        <v>0</v>
      </c>
      <c r="AW72" s="129">
        <f t="shared" si="16"/>
        <v>0</v>
      </c>
    </row>
    <row r="73" spans="1:49" x14ac:dyDescent="0.15">
      <c r="A73" s="157"/>
      <c r="B73" s="158"/>
      <c r="C73" s="158"/>
      <c r="D73" s="149" t="str">
        <f t="shared" si="0"/>
        <v xml:space="preserve"> </v>
      </c>
      <c r="E73" s="161"/>
      <c r="F73" s="261">
        <v>0</v>
      </c>
      <c r="G73" s="161">
        <v>37</v>
      </c>
      <c r="H73" s="161">
        <v>37</v>
      </c>
      <c r="I73" s="161"/>
      <c r="J73" s="163"/>
      <c r="K73" s="161"/>
      <c r="L73" s="163"/>
      <c r="M73" s="150"/>
      <c r="N73" s="150"/>
      <c r="O73" s="150"/>
      <c r="P73" s="150"/>
      <c r="Q73" s="151"/>
      <c r="R73" s="151"/>
      <c r="S73" s="152"/>
      <c r="V73" s="129">
        <f t="shared" si="7"/>
        <v>0</v>
      </c>
      <c r="W73" s="129">
        <f t="shared" si="8"/>
        <v>0</v>
      </c>
      <c r="X73" s="129">
        <f t="shared" si="18"/>
        <v>0</v>
      </c>
      <c r="Y73" s="129">
        <f t="shared" si="10"/>
        <v>65.337800000000001</v>
      </c>
      <c r="Z73" s="153">
        <f t="shared" si="1"/>
        <v>0</v>
      </c>
      <c r="AA73" s="248">
        <f t="shared" si="2"/>
        <v>0</v>
      </c>
      <c r="AB73" s="153">
        <f t="shared" si="11"/>
        <v>0</v>
      </c>
      <c r="AC73" s="248">
        <f t="shared" si="3"/>
        <v>0</v>
      </c>
      <c r="AD73" s="153">
        <f t="shared" si="4"/>
        <v>0</v>
      </c>
      <c r="AE73" s="248">
        <f t="shared" si="5"/>
        <v>0</v>
      </c>
      <c r="AF73" s="153">
        <f t="shared" si="12"/>
        <v>0</v>
      </c>
      <c r="AG73" s="248">
        <f t="shared" si="6"/>
        <v>0</v>
      </c>
      <c r="AH73" s="153">
        <f t="shared" si="13"/>
        <v>0</v>
      </c>
      <c r="AI73" s="153"/>
      <c r="AJ73" s="153">
        <f t="shared" si="14"/>
        <v>0</v>
      </c>
      <c r="AK73" s="153">
        <f t="shared" si="15"/>
        <v>0</v>
      </c>
      <c r="AL73" s="153"/>
      <c r="AM73" s="153"/>
      <c r="AN73" s="153"/>
      <c r="AQ73" s="153"/>
      <c r="AW73" s="129">
        <f t="shared" si="16"/>
        <v>0</v>
      </c>
    </row>
    <row r="74" spans="1:49" ht="9.75" thickBot="1" x14ac:dyDescent="0.2">
      <c r="A74" s="159"/>
      <c r="B74" s="160"/>
      <c r="C74" s="160"/>
      <c r="D74" s="154" t="str">
        <f t="shared" si="0"/>
        <v xml:space="preserve"> </v>
      </c>
      <c r="E74" s="162"/>
      <c r="F74" s="262">
        <v>0</v>
      </c>
      <c r="G74" s="162">
        <v>37</v>
      </c>
      <c r="H74" s="162">
        <v>37</v>
      </c>
      <c r="I74" s="162"/>
      <c r="J74" s="164"/>
      <c r="K74" s="162"/>
      <c r="L74" s="164"/>
      <c r="M74" s="164"/>
      <c r="N74" s="162"/>
      <c r="O74" s="162"/>
      <c r="P74" s="162"/>
      <c r="Q74" s="155">
        <f>AS74</f>
        <v>0</v>
      </c>
      <c r="R74" s="155">
        <f>AT74</f>
        <v>0</v>
      </c>
      <c r="S74" s="156">
        <f>AU74</f>
        <v>0</v>
      </c>
      <c r="U74" s="129">
        <f>IF(OR(C73=5,C74=5),0,1)</f>
        <v>1</v>
      </c>
      <c r="V74" s="129">
        <f t="shared" si="7"/>
        <v>0</v>
      </c>
      <c r="W74" s="129">
        <f t="shared" si="8"/>
        <v>0</v>
      </c>
      <c r="X74" s="129">
        <f t="shared" si="18"/>
        <v>0</v>
      </c>
      <c r="Y74" s="129">
        <f t="shared" si="10"/>
        <v>65.337800000000001</v>
      </c>
      <c r="Z74" s="153">
        <f t="shared" si="1"/>
        <v>0</v>
      </c>
      <c r="AA74" s="248">
        <f t="shared" si="2"/>
        <v>0</v>
      </c>
      <c r="AB74" s="153">
        <f t="shared" si="11"/>
        <v>0</v>
      </c>
      <c r="AC74" s="248">
        <f t="shared" si="3"/>
        <v>0</v>
      </c>
      <c r="AD74" s="153">
        <f t="shared" si="4"/>
        <v>0</v>
      </c>
      <c r="AE74" s="248">
        <f t="shared" si="5"/>
        <v>0</v>
      </c>
      <c r="AF74" s="153">
        <f t="shared" si="12"/>
        <v>0</v>
      </c>
      <c r="AG74" s="248">
        <f t="shared" si="6"/>
        <v>0</v>
      </c>
      <c r="AH74" s="153">
        <f t="shared" si="13"/>
        <v>0</v>
      </c>
      <c r="AI74" s="153"/>
      <c r="AJ74" s="153">
        <f t="shared" si="14"/>
        <v>0</v>
      </c>
      <c r="AK74" s="153">
        <f t="shared" si="15"/>
        <v>0</v>
      </c>
      <c r="AL74" s="153"/>
      <c r="AM74" s="153">
        <f>AK73*W73+AK74*W74</f>
        <v>0</v>
      </c>
      <c r="AN74" s="153">
        <f>(SUM(AD73:AG73)*W73+SUM(AD74:AG74)*W74)*12*VLOOKUP(C74,JNovergang,3,1)</f>
        <v>0</v>
      </c>
      <c r="AO74" s="153">
        <f>AM74-AN74</f>
        <v>0</v>
      </c>
      <c r="AP74" s="153">
        <f>M74*(100+X74)%</f>
        <v>0</v>
      </c>
      <c r="AQ74" s="248">
        <f>ROUND(M74*F74,2)</f>
        <v>0</v>
      </c>
      <c r="AS74" s="248">
        <f>ROUND((AP74+AQ74)+AM74*(N74/12),0)</f>
        <v>0</v>
      </c>
      <c r="AT74" s="248">
        <f>ROUND(AM74*(O74/12),0)</f>
        <v>0</v>
      </c>
      <c r="AU74" s="248">
        <f>ROUND(AM74*(P74/12)*U74,0)</f>
        <v>0</v>
      </c>
      <c r="AW74" s="129">
        <f t="shared" si="16"/>
        <v>0</v>
      </c>
    </row>
    <row r="75" spans="1:49" x14ac:dyDescent="0.15">
      <c r="A75" s="157"/>
      <c r="B75" s="158"/>
      <c r="C75" s="158"/>
      <c r="D75" s="149" t="str">
        <f t="shared" si="0"/>
        <v xml:space="preserve"> </v>
      </c>
      <c r="E75" s="161"/>
      <c r="F75" s="261">
        <v>0</v>
      </c>
      <c r="G75" s="161">
        <v>37</v>
      </c>
      <c r="H75" s="161">
        <v>37</v>
      </c>
      <c r="I75" s="161"/>
      <c r="J75" s="163"/>
      <c r="K75" s="161"/>
      <c r="L75" s="163"/>
      <c r="M75" s="150"/>
      <c r="N75" s="150"/>
      <c r="O75" s="150"/>
      <c r="P75" s="150"/>
      <c r="Q75" s="151"/>
      <c r="R75" s="151"/>
      <c r="S75" s="152"/>
      <c r="V75" s="129">
        <f t="shared" si="7"/>
        <v>0</v>
      </c>
      <c r="W75" s="129">
        <f t="shared" si="8"/>
        <v>0</v>
      </c>
      <c r="X75" s="129">
        <f t="shared" si="18"/>
        <v>0</v>
      </c>
      <c r="Y75" s="129">
        <f t="shared" si="10"/>
        <v>65.337800000000001</v>
      </c>
      <c r="Z75" s="153">
        <f t="shared" si="1"/>
        <v>0</v>
      </c>
      <c r="AA75" s="248">
        <f t="shared" si="2"/>
        <v>0</v>
      </c>
      <c r="AB75" s="153">
        <f t="shared" si="11"/>
        <v>0</v>
      </c>
      <c r="AC75" s="248">
        <f t="shared" si="3"/>
        <v>0</v>
      </c>
      <c r="AD75" s="153">
        <f t="shared" si="4"/>
        <v>0</v>
      </c>
      <c r="AE75" s="248">
        <f t="shared" si="5"/>
        <v>0</v>
      </c>
      <c r="AF75" s="153">
        <f t="shared" si="12"/>
        <v>0</v>
      </c>
      <c r="AG75" s="248">
        <f t="shared" si="6"/>
        <v>0</v>
      </c>
      <c r="AH75" s="153">
        <f t="shared" si="13"/>
        <v>0</v>
      </c>
      <c r="AI75" s="153"/>
      <c r="AJ75" s="153">
        <f t="shared" si="14"/>
        <v>0</v>
      </c>
      <c r="AK75" s="153">
        <f t="shared" si="15"/>
        <v>0</v>
      </c>
      <c r="AL75" s="153"/>
      <c r="AM75" s="153"/>
      <c r="AN75" s="153"/>
      <c r="AQ75" s="153"/>
      <c r="AW75" s="129">
        <f t="shared" si="16"/>
        <v>0</v>
      </c>
    </row>
    <row r="76" spans="1:49" ht="9.75" thickBot="1" x14ac:dyDescent="0.2">
      <c r="A76" s="159"/>
      <c r="B76" s="160"/>
      <c r="C76" s="160"/>
      <c r="D76" s="154" t="str">
        <f t="shared" si="0"/>
        <v xml:space="preserve"> </v>
      </c>
      <c r="E76" s="162"/>
      <c r="F76" s="262">
        <v>0</v>
      </c>
      <c r="G76" s="162">
        <v>37</v>
      </c>
      <c r="H76" s="162">
        <v>37</v>
      </c>
      <c r="I76" s="162"/>
      <c r="J76" s="164"/>
      <c r="K76" s="162"/>
      <c r="L76" s="164"/>
      <c r="M76" s="164"/>
      <c r="N76" s="162"/>
      <c r="O76" s="162"/>
      <c r="P76" s="162"/>
      <c r="Q76" s="155">
        <f>AS76</f>
        <v>0</v>
      </c>
      <c r="R76" s="155">
        <f>AT76</f>
        <v>0</v>
      </c>
      <c r="S76" s="156">
        <f>AU76</f>
        <v>0</v>
      </c>
      <c r="U76" s="129">
        <f>IF(OR(C75=5,C76=5),0,1)</f>
        <v>1</v>
      </c>
      <c r="V76" s="129">
        <f t="shared" si="7"/>
        <v>0</v>
      </c>
      <c r="W76" s="129">
        <f t="shared" si="8"/>
        <v>0</v>
      </c>
      <c r="X76" s="129">
        <f t="shared" si="18"/>
        <v>0</v>
      </c>
      <c r="Y76" s="129">
        <f t="shared" si="10"/>
        <v>65.337800000000001</v>
      </c>
      <c r="Z76" s="153">
        <f t="shared" si="1"/>
        <v>0</v>
      </c>
      <c r="AA76" s="248">
        <f t="shared" si="2"/>
        <v>0</v>
      </c>
      <c r="AB76" s="153">
        <f t="shared" si="11"/>
        <v>0</v>
      </c>
      <c r="AC76" s="248">
        <f t="shared" si="3"/>
        <v>0</v>
      </c>
      <c r="AD76" s="153">
        <f t="shared" si="4"/>
        <v>0</v>
      </c>
      <c r="AE76" s="248">
        <f t="shared" si="5"/>
        <v>0</v>
      </c>
      <c r="AF76" s="153">
        <f t="shared" si="12"/>
        <v>0</v>
      </c>
      <c r="AG76" s="248">
        <f t="shared" si="6"/>
        <v>0</v>
      </c>
      <c r="AH76" s="153">
        <f t="shared" si="13"/>
        <v>0</v>
      </c>
      <c r="AI76" s="153"/>
      <c r="AJ76" s="153">
        <f t="shared" si="14"/>
        <v>0</v>
      </c>
      <c r="AK76" s="153">
        <f t="shared" si="15"/>
        <v>0</v>
      </c>
      <c r="AL76" s="153"/>
      <c r="AM76" s="153">
        <f>AK75*W75+AK76*W76</f>
        <v>0</v>
      </c>
      <c r="AN76" s="153">
        <f>(SUM(AD75:AG75)*W75+SUM(AD76:AG76)*W76)*12*VLOOKUP(C76,JNovergang,3,1)</f>
        <v>0</v>
      </c>
      <c r="AO76" s="153">
        <f>AM76-AN76</f>
        <v>0</v>
      </c>
      <c r="AP76" s="153">
        <f>M76*(100+X76)%</f>
        <v>0</v>
      </c>
      <c r="AQ76" s="248">
        <f>ROUND(M76*F76,2)</f>
        <v>0</v>
      </c>
      <c r="AS76" s="248">
        <f>ROUND((AP76+AQ76)+AM76*(N76/12),0)</f>
        <v>0</v>
      </c>
      <c r="AT76" s="248">
        <f>ROUND(AM76*(O76/12),0)</f>
        <v>0</v>
      </c>
      <c r="AU76" s="248">
        <f>ROUND(AM76*(P76/12)*U76,0)</f>
        <v>0</v>
      </c>
      <c r="AW76" s="129">
        <f t="shared" si="16"/>
        <v>0</v>
      </c>
    </row>
    <row r="77" spans="1:49" x14ac:dyDescent="0.15">
      <c r="A77" s="157"/>
      <c r="B77" s="158"/>
      <c r="C77" s="158"/>
      <c r="D77" s="149" t="str">
        <f t="shared" si="0"/>
        <v xml:space="preserve"> </v>
      </c>
      <c r="E77" s="161"/>
      <c r="F77" s="261">
        <v>0</v>
      </c>
      <c r="G77" s="161">
        <v>37</v>
      </c>
      <c r="H77" s="161">
        <v>37</v>
      </c>
      <c r="I77" s="161"/>
      <c r="J77" s="163"/>
      <c r="K77" s="161"/>
      <c r="L77" s="163"/>
      <c r="M77" s="150"/>
      <c r="N77" s="150"/>
      <c r="O77" s="150"/>
      <c r="P77" s="150"/>
      <c r="Q77" s="151"/>
      <c r="R77" s="151"/>
      <c r="S77" s="152"/>
      <c r="V77" s="129">
        <f t="shared" si="7"/>
        <v>0</v>
      </c>
      <c r="W77" s="129">
        <f t="shared" si="8"/>
        <v>0</v>
      </c>
      <c r="X77" s="129">
        <f t="shared" si="18"/>
        <v>0</v>
      </c>
      <c r="Y77" s="129">
        <f t="shared" si="10"/>
        <v>65.337800000000001</v>
      </c>
      <c r="Z77" s="153">
        <f t="shared" si="1"/>
        <v>0</v>
      </c>
      <c r="AA77" s="248">
        <f t="shared" si="2"/>
        <v>0</v>
      </c>
      <c r="AB77" s="153">
        <f t="shared" si="11"/>
        <v>0</v>
      </c>
      <c r="AC77" s="248">
        <f t="shared" si="3"/>
        <v>0</v>
      </c>
      <c r="AD77" s="153">
        <f t="shared" si="4"/>
        <v>0</v>
      </c>
      <c r="AE77" s="248">
        <f t="shared" si="5"/>
        <v>0</v>
      </c>
      <c r="AF77" s="153">
        <f t="shared" si="12"/>
        <v>0</v>
      </c>
      <c r="AG77" s="248">
        <f t="shared" si="6"/>
        <v>0</v>
      </c>
      <c r="AH77" s="153">
        <f t="shared" si="13"/>
        <v>0</v>
      </c>
      <c r="AI77" s="153"/>
      <c r="AJ77" s="153">
        <f t="shared" si="14"/>
        <v>0</v>
      </c>
      <c r="AK77" s="153">
        <f t="shared" si="15"/>
        <v>0</v>
      </c>
      <c r="AL77" s="153"/>
      <c r="AM77" s="153"/>
      <c r="AN77" s="153"/>
      <c r="AQ77" s="153"/>
      <c r="AW77" s="129">
        <f t="shared" si="16"/>
        <v>0</v>
      </c>
    </row>
    <row r="78" spans="1:49" ht="9.75" thickBot="1" x14ac:dyDescent="0.2">
      <c r="A78" s="159"/>
      <c r="B78" s="160"/>
      <c r="C78" s="160"/>
      <c r="D78" s="154" t="str">
        <f t="shared" si="0"/>
        <v xml:space="preserve"> </v>
      </c>
      <c r="E78" s="162"/>
      <c r="F78" s="262">
        <v>0</v>
      </c>
      <c r="G78" s="162">
        <v>37</v>
      </c>
      <c r="H78" s="162">
        <v>37</v>
      </c>
      <c r="I78" s="162"/>
      <c r="J78" s="164"/>
      <c r="K78" s="162"/>
      <c r="L78" s="164"/>
      <c r="M78" s="164"/>
      <c r="N78" s="162"/>
      <c r="O78" s="162"/>
      <c r="P78" s="162"/>
      <c r="Q78" s="155">
        <f>AS78</f>
        <v>0</v>
      </c>
      <c r="R78" s="155">
        <f>AT78</f>
        <v>0</v>
      </c>
      <c r="S78" s="156">
        <f>AU78</f>
        <v>0</v>
      </c>
      <c r="U78" s="129">
        <f>IF(OR(C77=5,C78=5),0,1)</f>
        <v>1</v>
      </c>
      <c r="V78" s="129">
        <f t="shared" si="7"/>
        <v>0</v>
      </c>
      <c r="W78" s="129">
        <f t="shared" si="8"/>
        <v>0</v>
      </c>
      <c r="X78" s="129">
        <f t="shared" si="18"/>
        <v>0</v>
      </c>
      <c r="Y78" s="129">
        <f t="shared" si="10"/>
        <v>65.337800000000001</v>
      </c>
      <c r="Z78" s="153">
        <f t="shared" si="1"/>
        <v>0</v>
      </c>
      <c r="AA78" s="248">
        <f t="shared" si="2"/>
        <v>0</v>
      </c>
      <c r="AB78" s="153">
        <f t="shared" si="11"/>
        <v>0</v>
      </c>
      <c r="AC78" s="248">
        <f t="shared" si="3"/>
        <v>0</v>
      </c>
      <c r="AD78" s="153">
        <f t="shared" si="4"/>
        <v>0</v>
      </c>
      <c r="AE78" s="248">
        <f t="shared" si="5"/>
        <v>0</v>
      </c>
      <c r="AF78" s="153">
        <f t="shared" si="12"/>
        <v>0</v>
      </c>
      <c r="AG78" s="248">
        <f t="shared" si="6"/>
        <v>0</v>
      </c>
      <c r="AH78" s="153">
        <f t="shared" si="13"/>
        <v>0</v>
      </c>
      <c r="AI78" s="153"/>
      <c r="AJ78" s="153">
        <f t="shared" si="14"/>
        <v>0</v>
      </c>
      <c r="AK78" s="153">
        <f t="shared" si="15"/>
        <v>0</v>
      </c>
      <c r="AL78" s="153"/>
      <c r="AM78" s="153">
        <f>AK77*W77+AK78*W78</f>
        <v>0</v>
      </c>
      <c r="AN78" s="153">
        <f>(SUM(AD77:AG77)*W77+SUM(AD78:AG78)*W78)*12*VLOOKUP(C78,JNovergang,3,1)</f>
        <v>0</v>
      </c>
      <c r="AO78" s="153">
        <f>AM78-AN78</f>
        <v>0</v>
      </c>
      <c r="AP78" s="153">
        <f>M78*(100+X78)%</f>
        <v>0</v>
      </c>
      <c r="AQ78" s="248">
        <f>ROUND(M78*F78,2)</f>
        <v>0</v>
      </c>
      <c r="AS78" s="248">
        <f>ROUND((AP78+AQ78)+AM78*(N78/12),0)</f>
        <v>0</v>
      </c>
      <c r="AT78" s="248">
        <f>ROUND(AM78*(O78/12),0)</f>
        <v>0</v>
      </c>
      <c r="AU78" s="248">
        <f>ROUND(AM78*(P78/12)*U78,0)</f>
        <v>0</v>
      </c>
      <c r="AW78" s="129">
        <f t="shared" si="16"/>
        <v>0</v>
      </c>
    </row>
    <row r="79" spans="1:49" x14ac:dyDescent="0.15">
      <c r="A79" s="157"/>
      <c r="B79" s="158"/>
      <c r="C79" s="158"/>
      <c r="D79" s="149" t="str">
        <f t="shared" si="0"/>
        <v xml:space="preserve"> </v>
      </c>
      <c r="E79" s="161"/>
      <c r="F79" s="261">
        <v>0</v>
      </c>
      <c r="G79" s="161">
        <v>37</v>
      </c>
      <c r="H79" s="161">
        <v>37</v>
      </c>
      <c r="I79" s="161"/>
      <c r="J79" s="163"/>
      <c r="K79" s="161"/>
      <c r="L79" s="163"/>
      <c r="M79" s="150"/>
      <c r="N79" s="150"/>
      <c r="O79" s="150"/>
      <c r="P79" s="150"/>
      <c r="Q79" s="151"/>
      <c r="R79" s="151"/>
      <c r="S79" s="152"/>
      <c r="V79" s="129">
        <f t="shared" si="7"/>
        <v>0</v>
      </c>
      <c r="W79" s="129">
        <f t="shared" si="8"/>
        <v>0</v>
      </c>
      <c r="X79" s="129">
        <f t="shared" si="18"/>
        <v>0</v>
      </c>
      <c r="Y79" s="129">
        <f t="shared" si="10"/>
        <v>65.337800000000001</v>
      </c>
      <c r="Z79" s="153">
        <f t="shared" si="1"/>
        <v>0</v>
      </c>
      <c r="AA79" s="248">
        <f t="shared" si="2"/>
        <v>0</v>
      </c>
      <c r="AB79" s="153">
        <f t="shared" si="11"/>
        <v>0</v>
      </c>
      <c r="AC79" s="248">
        <f t="shared" si="3"/>
        <v>0</v>
      </c>
      <c r="AD79" s="153">
        <f t="shared" si="4"/>
        <v>0</v>
      </c>
      <c r="AE79" s="248">
        <f t="shared" si="5"/>
        <v>0</v>
      </c>
      <c r="AF79" s="153">
        <f t="shared" si="12"/>
        <v>0</v>
      </c>
      <c r="AG79" s="248">
        <f t="shared" si="6"/>
        <v>0</v>
      </c>
      <c r="AH79" s="153">
        <f t="shared" si="13"/>
        <v>0</v>
      </c>
      <c r="AI79" s="153"/>
      <c r="AJ79" s="153">
        <f t="shared" si="14"/>
        <v>0</v>
      </c>
      <c r="AK79" s="153">
        <f t="shared" si="15"/>
        <v>0</v>
      </c>
      <c r="AL79" s="153"/>
      <c r="AM79" s="153"/>
      <c r="AN79" s="153"/>
      <c r="AQ79" s="153"/>
      <c r="AW79" s="129">
        <f t="shared" si="16"/>
        <v>0</v>
      </c>
    </row>
    <row r="80" spans="1:49" ht="9.75" thickBot="1" x14ac:dyDescent="0.2">
      <c r="A80" s="159"/>
      <c r="B80" s="160"/>
      <c r="C80" s="160"/>
      <c r="D80" s="154" t="str">
        <f t="shared" si="0"/>
        <v xml:space="preserve"> </v>
      </c>
      <c r="E80" s="162"/>
      <c r="F80" s="262">
        <v>0</v>
      </c>
      <c r="G80" s="162">
        <v>37</v>
      </c>
      <c r="H80" s="162">
        <v>37</v>
      </c>
      <c r="I80" s="162"/>
      <c r="J80" s="164"/>
      <c r="K80" s="162"/>
      <c r="L80" s="164"/>
      <c r="M80" s="164"/>
      <c r="N80" s="162"/>
      <c r="O80" s="162"/>
      <c r="P80" s="162"/>
      <c r="Q80" s="155">
        <f>AS80</f>
        <v>0</v>
      </c>
      <c r="R80" s="155">
        <f>AT80</f>
        <v>0</v>
      </c>
      <c r="S80" s="156">
        <f>AU80</f>
        <v>0</v>
      </c>
      <c r="U80" s="129">
        <f>IF(OR(C79=5,C80=5),0,1)</f>
        <v>1</v>
      </c>
      <c r="V80" s="129">
        <f t="shared" si="7"/>
        <v>0</v>
      </c>
      <c r="W80" s="129">
        <f t="shared" si="8"/>
        <v>0</v>
      </c>
      <c r="X80" s="129">
        <f t="shared" si="18"/>
        <v>0</v>
      </c>
      <c r="Y80" s="129">
        <f t="shared" si="10"/>
        <v>65.337800000000001</v>
      </c>
      <c r="Z80" s="153">
        <f t="shared" si="1"/>
        <v>0</v>
      </c>
      <c r="AA80" s="248">
        <f t="shared" si="2"/>
        <v>0</v>
      </c>
      <c r="AB80" s="153">
        <f t="shared" si="11"/>
        <v>0</v>
      </c>
      <c r="AC80" s="248">
        <f t="shared" si="3"/>
        <v>0</v>
      </c>
      <c r="AD80" s="153">
        <f t="shared" si="4"/>
        <v>0</v>
      </c>
      <c r="AE80" s="248">
        <f t="shared" si="5"/>
        <v>0</v>
      </c>
      <c r="AF80" s="153">
        <f t="shared" si="12"/>
        <v>0</v>
      </c>
      <c r="AG80" s="248">
        <f t="shared" si="6"/>
        <v>0</v>
      </c>
      <c r="AH80" s="153">
        <f t="shared" si="13"/>
        <v>0</v>
      </c>
      <c r="AI80" s="153"/>
      <c r="AJ80" s="153">
        <f t="shared" si="14"/>
        <v>0</v>
      </c>
      <c r="AK80" s="153">
        <f t="shared" si="15"/>
        <v>0</v>
      </c>
      <c r="AL80" s="153"/>
      <c r="AM80" s="153">
        <f>AK79*W79+AK80*W80</f>
        <v>0</v>
      </c>
      <c r="AN80" s="153">
        <f>(SUM(AD79:AG79)*W79+SUM(AD80:AG80)*W80)*12*VLOOKUP(C80,JNovergang,3,1)</f>
        <v>0</v>
      </c>
      <c r="AO80" s="153">
        <f>AM80-AN80</f>
        <v>0</v>
      </c>
      <c r="AP80" s="153">
        <f>M80*(100+X80)%</f>
        <v>0</v>
      </c>
      <c r="AQ80" s="248">
        <f>ROUND(M80*F80,2)</f>
        <v>0</v>
      </c>
      <c r="AS80" s="248">
        <f>ROUND((AP80+AQ80)+AM80*(N80/12),0)</f>
        <v>0</v>
      </c>
      <c r="AT80" s="248">
        <f>ROUND(AM80*(O80/12),0)</f>
        <v>0</v>
      </c>
      <c r="AU80" s="248">
        <f>ROUND(AM80*(P80/12)*U80,0)</f>
        <v>0</v>
      </c>
      <c r="AW80" s="129">
        <f t="shared" si="16"/>
        <v>0</v>
      </c>
    </row>
    <row r="81" spans="1:49" x14ac:dyDescent="0.15">
      <c r="A81" s="157"/>
      <c r="B81" s="158"/>
      <c r="C81" s="158"/>
      <c r="D81" s="149" t="str">
        <f t="shared" si="0"/>
        <v xml:space="preserve"> </v>
      </c>
      <c r="E81" s="161"/>
      <c r="F81" s="261">
        <v>0</v>
      </c>
      <c r="G81" s="161">
        <v>37</v>
      </c>
      <c r="H81" s="161">
        <v>37</v>
      </c>
      <c r="I81" s="161"/>
      <c r="J81" s="163"/>
      <c r="K81" s="161"/>
      <c r="L81" s="163"/>
      <c r="M81" s="150"/>
      <c r="N81" s="150"/>
      <c r="O81" s="150"/>
      <c r="P81" s="150"/>
      <c r="Q81" s="151"/>
      <c r="R81" s="151"/>
      <c r="S81" s="152"/>
      <c r="V81" s="129">
        <f t="shared" si="7"/>
        <v>0</v>
      </c>
      <c r="W81" s="129">
        <f t="shared" si="8"/>
        <v>0</v>
      </c>
      <c r="X81" s="129">
        <f t="shared" si="18"/>
        <v>0</v>
      </c>
      <c r="Y81" s="129">
        <f t="shared" si="10"/>
        <v>65.337800000000001</v>
      </c>
      <c r="Z81" s="153">
        <f t="shared" si="1"/>
        <v>0</v>
      </c>
      <c r="AA81" s="248">
        <f t="shared" si="2"/>
        <v>0</v>
      </c>
      <c r="AB81" s="153">
        <f t="shared" si="11"/>
        <v>0</v>
      </c>
      <c r="AC81" s="248">
        <f t="shared" si="3"/>
        <v>0</v>
      </c>
      <c r="AD81" s="153">
        <f t="shared" si="4"/>
        <v>0</v>
      </c>
      <c r="AE81" s="248">
        <f t="shared" si="5"/>
        <v>0</v>
      </c>
      <c r="AF81" s="153">
        <f t="shared" si="12"/>
        <v>0</v>
      </c>
      <c r="AG81" s="248">
        <f t="shared" si="6"/>
        <v>0</v>
      </c>
      <c r="AH81" s="153">
        <f t="shared" si="13"/>
        <v>0</v>
      </c>
      <c r="AI81" s="153"/>
      <c r="AJ81" s="153">
        <f t="shared" si="14"/>
        <v>0</v>
      </c>
      <c r="AK81" s="153">
        <f t="shared" si="15"/>
        <v>0</v>
      </c>
      <c r="AL81" s="153"/>
      <c r="AM81" s="153"/>
      <c r="AN81" s="153"/>
      <c r="AQ81" s="153"/>
      <c r="AW81" s="129">
        <f t="shared" si="16"/>
        <v>0</v>
      </c>
    </row>
    <row r="82" spans="1:49" ht="9.75" thickBot="1" x14ac:dyDescent="0.2">
      <c r="A82" s="159"/>
      <c r="B82" s="160"/>
      <c r="C82" s="160"/>
      <c r="D82" s="154" t="str">
        <f t="shared" si="0"/>
        <v xml:space="preserve"> </v>
      </c>
      <c r="E82" s="162"/>
      <c r="F82" s="262">
        <v>0</v>
      </c>
      <c r="G82" s="162">
        <v>37</v>
      </c>
      <c r="H82" s="162">
        <v>37</v>
      </c>
      <c r="I82" s="162"/>
      <c r="J82" s="164"/>
      <c r="K82" s="162"/>
      <c r="L82" s="164"/>
      <c r="M82" s="164"/>
      <c r="N82" s="162"/>
      <c r="O82" s="162"/>
      <c r="P82" s="162"/>
      <c r="Q82" s="155">
        <f>AS82</f>
        <v>0</v>
      </c>
      <c r="R82" s="155">
        <f>AT82</f>
        <v>0</v>
      </c>
      <c r="S82" s="156">
        <f>AU82</f>
        <v>0</v>
      </c>
      <c r="U82" s="129">
        <f>IF(OR(C81=5,C82=5),0,1)</f>
        <v>1</v>
      </c>
      <c r="V82" s="129">
        <f t="shared" si="7"/>
        <v>0</v>
      </c>
      <c r="W82" s="129">
        <f t="shared" si="8"/>
        <v>0</v>
      </c>
      <c r="X82" s="129">
        <f t="shared" si="18"/>
        <v>0</v>
      </c>
      <c r="Y82" s="129">
        <f t="shared" si="10"/>
        <v>65.337800000000001</v>
      </c>
      <c r="Z82" s="153">
        <f t="shared" si="1"/>
        <v>0</v>
      </c>
      <c r="AA82" s="248">
        <f t="shared" si="2"/>
        <v>0</v>
      </c>
      <c r="AB82" s="153">
        <f t="shared" si="11"/>
        <v>0</v>
      </c>
      <c r="AC82" s="248">
        <f t="shared" si="3"/>
        <v>0</v>
      </c>
      <c r="AD82" s="153">
        <f t="shared" si="4"/>
        <v>0</v>
      </c>
      <c r="AE82" s="248">
        <f t="shared" si="5"/>
        <v>0</v>
      </c>
      <c r="AF82" s="153">
        <f t="shared" si="12"/>
        <v>0</v>
      </c>
      <c r="AG82" s="248">
        <f t="shared" si="6"/>
        <v>0</v>
      </c>
      <c r="AH82" s="153">
        <f t="shared" si="13"/>
        <v>0</v>
      </c>
      <c r="AI82" s="153"/>
      <c r="AJ82" s="153">
        <f t="shared" si="14"/>
        <v>0</v>
      </c>
      <c r="AK82" s="153">
        <f t="shared" si="15"/>
        <v>0</v>
      </c>
      <c r="AL82" s="153"/>
      <c r="AM82" s="153">
        <f>AK81*W81+AK82*W82</f>
        <v>0</v>
      </c>
      <c r="AN82" s="153">
        <f>(SUM(AD81:AG81)*W81+SUM(AD82:AG82)*W82)*12*VLOOKUP(C82,JNovergang,3,1)</f>
        <v>0</v>
      </c>
      <c r="AO82" s="153">
        <f>AM82-AN82</f>
        <v>0</v>
      </c>
      <c r="AP82" s="153">
        <f>M82*(100+X82)%</f>
        <v>0</v>
      </c>
      <c r="AQ82" s="248">
        <f>ROUND(M82*F82,2)</f>
        <v>0</v>
      </c>
      <c r="AS82" s="248">
        <f>ROUND((AP82+AQ82)+AM82*(N82/12),0)</f>
        <v>0</v>
      </c>
      <c r="AT82" s="248">
        <f>ROUND(AM82*(O82/12),0)</f>
        <v>0</v>
      </c>
      <c r="AU82" s="248">
        <f>ROUND(AM82*(P82/12)*U82,0)</f>
        <v>0</v>
      </c>
      <c r="AW82" s="129">
        <f t="shared" si="16"/>
        <v>0</v>
      </c>
    </row>
    <row r="83" spans="1:49" x14ac:dyDescent="0.15">
      <c r="A83" s="157"/>
      <c r="B83" s="158"/>
      <c r="C83" s="158"/>
      <c r="D83" s="149" t="str">
        <f t="shared" si="0"/>
        <v xml:space="preserve"> </v>
      </c>
      <c r="E83" s="161"/>
      <c r="F83" s="261">
        <v>0</v>
      </c>
      <c r="G83" s="161">
        <v>37</v>
      </c>
      <c r="H83" s="161">
        <v>37</v>
      </c>
      <c r="I83" s="161"/>
      <c r="J83" s="163"/>
      <c r="K83" s="161"/>
      <c r="L83" s="163"/>
      <c r="M83" s="150"/>
      <c r="N83" s="150"/>
      <c r="O83" s="150"/>
      <c r="P83" s="150"/>
      <c r="Q83" s="151"/>
      <c r="R83" s="151"/>
      <c r="S83" s="152"/>
      <c r="V83" s="129">
        <f t="shared" si="7"/>
        <v>0</v>
      </c>
      <c r="W83" s="129">
        <f t="shared" si="8"/>
        <v>0</v>
      </c>
      <c r="X83" s="129">
        <f t="shared" si="18"/>
        <v>0</v>
      </c>
      <c r="Y83" s="129">
        <f t="shared" si="10"/>
        <v>65.337800000000001</v>
      </c>
      <c r="Z83" s="153">
        <f t="shared" si="1"/>
        <v>0</v>
      </c>
      <c r="AA83" s="248">
        <f t="shared" si="2"/>
        <v>0</v>
      </c>
      <c r="AB83" s="153">
        <f t="shared" si="11"/>
        <v>0</v>
      </c>
      <c r="AC83" s="248">
        <f t="shared" si="3"/>
        <v>0</v>
      </c>
      <c r="AD83" s="153">
        <f t="shared" si="4"/>
        <v>0</v>
      </c>
      <c r="AE83" s="248">
        <f t="shared" si="5"/>
        <v>0</v>
      </c>
      <c r="AF83" s="153">
        <f t="shared" si="12"/>
        <v>0</v>
      </c>
      <c r="AG83" s="248">
        <f t="shared" si="6"/>
        <v>0</v>
      </c>
      <c r="AH83" s="153">
        <f t="shared" si="13"/>
        <v>0</v>
      </c>
      <c r="AI83" s="153"/>
      <c r="AJ83" s="153">
        <f t="shared" si="14"/>
        <v>0</v>
      </c>
      <c r="AK83" s="153">
        <f t="shared" si="15"/>
        <v>0</v>
      </c>
      <c r="AL83" s="153"/>
      <c r="AM83" s="153"/>
      <c r="AN83" s="153"/>
      <c r="AQ83" s="153"/>
      <c r="AW83" s="129">
        <f t="shared" si="16"/>
        <v>0</v>
      </c>
    </row>
    <row r="84" spans="1:49" ht="9.75" thickBot="1" x14ac:dyDescent="0.2">
      <c r="A84" s="159"/>
      <c r="B84" s="160"/>
      <c r="C84" s="160"/>
      <c r="D84" s="154" t="str">
        <f t="shared" si="0"/>
        <v xml:space="preserve"> </v>
      </c>
      <c r="E84" s="162"/>
      <c r="F84" s="262">
        <v>0</v>
      </c>
      <c r="G84" s="162">
        <v>37</v>
      </c>
      <c r="H84" s="162">
        <v>37</v>
      </c>
      <c r="I84" s="162"/>
      <c r="J84" s="164"/>
      <c r="K84" s="162"/>
      <c r="L84" s="164"/>
      <c r="M84" s="164"/>
      <c r="N84" s="162"/>
      <c r="O84" s="162"/>
      <c r="P84" s="162"/>
      <c r="Q84" s="155">
        <f>AS84</f>
        <v>0</v>
      </c>
      <c r="R84" s="155">
        <f>AT84</f>
        <v>0</v>
      </c>
      <c r="S84" s="156">
        <f>AU84</f>
        <v>0</v>
      </c>
      <c r="U84" s="129">
        <f>IF(OR(C83=5,C84=5),0,1)</f>
        <v>1</v>
      </c>
      <c r="V84" s="129">
        <f t="shared" si="7"/>
        <v>0</v>
      </c>
      <c r="W84" s="129">
        <f t="shared" si="8"/>
        <v>0</v>
      </c>
      <c r="X84" s="129">
        <f t="shared" si="18"/>
        <v>0</v>
      </c>
      <c r="Y84" s="129">
        <f t="shared" si="10"/>
        <v>65.337800000000001</v>
      </c>
      <c r="Z84" s="153">
        <f t="shared" si="1"/>
        <v>0</v>
      </c>
      <c r="AA84" s="248">
        <f t="shared" si="2"/>
        <v>0</v>
      </c>
      <c r="AB84" s="153">
        <f t="shared" si="11"/>
        <v>0</v>
      </c>
      <c r="AC84" s="248">
        <f t="shared" si="3"/>
        <v>0</v>
      </c>
      <c r="AD84" s="153">
        <f t="shared" si="4"/>
        <v>0</v>
      </c>
      <c r="AE84" s="248">
        <f t="shared" si="5"/>
        <v>0</v>
      </c>
      <c r="AF84" s="153">
        <f t="shared" si="12"/>
        <v>0</v>
      </c>
      <c r="AG84" s="248">
        <f t="shared" si="6"/>
        <v>0</v>
      </c>
      <c r="AH84" s="153">
        <f t="shared" si="13"/>
        <v>0</v>
      </c>
      <c r="AI84" s="153"/>
      <c r="AJ84" s="153">
        <f t="shared" si="14"/>
        <v>0</v>
      </c>
      <c r="AK84" s="153">
        <f t="shared" si="15"/>
        <v>0</v>
      </c>
      <c r="AL84" s="153"/>
      <c r="AM84" s="153">
        <f>AK83*W83+AK84*W84</f>
        <v>0</v>
      </c>
      <c r="AN84" s="153">
        <f>(SUM(AD83:AG83)*W83+SUM(AD84:AG84)*W84)*12*VLOOKUP(C84,JNovergang,3,1)</f>
        <v>0</v>
      </c>
      <c r="AO84" s="153">
        <f>AM84-AN84</f>
        <v>0</v>
      </c>
      <c r="AP84" s="153">
        <f>M84*(100+X84)%</f>
        <v>0</v>
      </c>
      <c r="AQ84" s="248">
        <f>ROUND(M84*F84,2)</f>
        <v>0</v>
      </c>
      <c r="AS84" s="248">
        <f>ROUND((AP84+AQ84)+AM84*(N84/12),0)</f>
        <v>0</v>
      </c>
      <c r="AT84" s="248">
        <f>ROUND(AM84*(O84/12),0)</f>
        <v>0</v>
      </c>
      <c r="AU84" s="248">
        <f>ROUND(AM84*(P84/12)*U84,0)</f>
        <v>0</v>
      </c>
      <c r="AW84" s="129">
        <f t="shared" si="16"/>
        <v>0</v>
      </c>
    </row>
    <row r="85" spans="1:49" x14ac:dyDescent="0.15">
      <c r="A85" s="157"/>
      <c r="B85" s="158"/>
      <c r="C85" s="158"/>
      <c r="D85" s="149" t="str">
        <f t="shared" si="0"/>
        <v xml:space="preserve"> </v>
      </c>
      <c r="E85" s="161"/>
      <c r="F85" s="261">
        <v>0</v>
      </c>
      <c r="G85" s="161">
        <v>37</v>
      </c>
      <c r="H85" s="161">
        <v>37</v>
      </c>
      <c r="I85" s="161"/>
      <c r="J85" s="163"/>
      <c r="K85" s="161"/>
      <c r="L85" s="163"/>
      <c r="M85" s="150"/>
      <c r="N85" s="150"/>
      <c r="O85" s="150"/>
      <c r="P85" s="150"/>
      <c r="Q85" s="151"/>
      <c r="R85" s="151"/>
      <c r="S85" s="152"/>
      <c r="V85" s="129">
        <f t="shared" si="7"/>
        <v>0</v>
      </c>
      <c r="W85" s="129">
        <f t="shared" si="8"/>
        <v>0</v>
      </c>
      <c r="X85" s="129">
        <f t="shared" si="18"/>
        <v>0</v>
      </c>
      <c r="Y85" s="129">
        <f t="shared" si="10"/>
        <v>65.337800000000001</v>
      </c>
      <c r="Z85" s="153">
        <f t="shared" ref="Z85:Z148" si="19">ROUND(VLOOKUP(I85,TabelLønninger,VLOOKUP(E85,TabelLøntabel,2,1),1)*G85/H85,2)</f>
        <v>0</v>
      </c>
      <c r="AA85" s="248">
        <f t="shared" ref="AA85:AA148" si="20">ROUND(VLOOKUP(I85,TabelLønninger,VLOOKUP(E85,TabelPensgivLøn,2))*F85/12*G85/H85,2)</f>
        <v>0</v>
      </c>
      <c r="AB85" s="153">
        <f t="shared" si="11"/>
        <v>0</v>
      </c>
      <c r="AC85" s="248">
        <f t="shared" ref="AC85:AC148" si="21">ROUND(AB85*F85,2)</f>
        <v>0</v>
      </c>
      <c r="AD85" s="153">
        <f t="shared" ref="AD85:AD148" si="22">ROUND(VLOOKUP(I85+K85,TabelLønninger,VLOOKUP(E85,TabelLøntabel,2,1),1)*G85/H85,2)-Z85</f>
        <v>0</v>
      </c>
      <c r="AE85" s="248">
        <f t="shared" ref="AE85:AE148" si="23">ROUND(VLOOKUP(I85+K85,TabelLønninger,VLOOKUP(E85,TabelPensgivLøn,2))*F85/12*G85/H85,2)-AA85</f>
        <v>0</v>
      </c>
      <c r="AF85" s="153">
        <f t="shared" si="12"/>
        <v>0</v>
      </c>
      <c r="AG85" s="248">
        <f t="shared" ref="AG85:AG148" si="24">ROUND(AF85*F85,2)</f>
        <v>0</v>
      </c>
      <c r="AH85" s="153">
        <f t="shared" si="13"/>
        <v>0</v>
      </c>
      <c r="AI85" s="153"/>
      <c r="AJ85" s="153">
        <f t="shared" si="14"/>
        <v>0</v>
      </c>
      <c r="AK85" s="153">
        <f t="shared" si="15"/>
        <v>0</v>
      </c>
      <c r="AL85" s="153"/>
      <c r="AM85" s="153"/>
      <c r="AN85" s="153"/>
      <c r="AQ85" s="153"/>
      <c r="AW85" s="129">
        <f t="shared" si="16"/>
        <v>0</v>
      </c>
    </row>
    <row r="86" spans="1:49" ht="9.75" thickBot="1" x14ac:dyDescent="0.2">
      <c r="A86" s="159"/>
      <c r="B86" s="160"/>
      <c r="C86" s="160"/>
      <c r="D86" s="154" t="str">
        <f>VLOOKUP(C86,Tabelændringskode,2,1)</f>
        <v xml:space="preserve"> </v>
      </c>
      <c r="E86" s="162"/>
      <c r="F86" s="262">
        <v>0</v>
      </c>
      <c r="G86" s="162">
        <v>37</v>
      </c>
      <c r="H86" s="162">
        <v>37</v>
      </c>
      <c r="I86" s="162"/>
      <c r="J86" s="164"/>
      <c r="K86" s="162"/>
      <c r="L86" s="164"/>
      <c r="M86" s="164"/>
      <c r="N86" s="162"/>
      <c r="O86" s="162"/>
      <c r="P86" s="162"/>
      <c r="Q86" s="155">
        <f>AS86</f>
        <v>0</v>
      </c>
      <c r="R86" s="155">
        <f>AT86</f>
        <v>0</v>
      </c>
      <c r="S86" s="156">
        <f>AU86</f>
        <v>0</v>
      </c>
      <c r="U86" s="129">
        <f>IF(OR(C85=5,C86=5),0,1)</f>
        <v>1</v>
      </c>
      <c r="V86" s="129">
        <f t="shared" ref="V86:V149" si="25">VLOOKUP(C86,TabelRammeforbrug,3,1)</f>
        <v>0</v>
      </c>
      <c r="W86" s="129">
        <f t="shared" ref="W86:W149" si="26">VLOOKUP(C86,FraTil,3,1)</f>
        <v>0</v>
      </c>
      <c r="X86" s="129">
        <f t="shared" si="18"/>
        <v>0</v>
      </c>
      <c r="Y86" s="129">
        <f t="shared" ref="Y86:Y149" si="27">VLOOKUP(E86,TabelPctReg,2)</f>
        <v>65.337800000000001</v>
      </c>
      <c r="Z86" s="153">
        <f t="shared" si="19"/>
        <v>0</v>
      </c>
      <c r="AA86" s="248">
        <f t="shared" si="20"/>
        <v>0</v>
      </c>
      <c r="AB86" s="153">
        <f t="shared" ref="AB86:AB149" si="28">ROUND(J86/12*(1+Y86%),2)*G86/H86</f>
        <v>0</v>
      </c>
      <c r="AC86" s="248">
        <f t="shared" si="21"/>
        <v>0</v>
      </c>
      <c r="AD86" s="153">
        <f t="shared" si="22"/>
        <v>0</v>
      </c>
      <c r="AE86" s="248">
        <f t="shared" si="23"/>
        <v>0</v>
      </c>
      <c r="AF86" s="153">
        <f t="shared" ref="AF86:AF149" si="29">ROUND(L86/12*(1+Y86%),2)*G86/H86</f>
        <v>0</v>
      </c>
      <c r="AG86" s="248">
        <f t="shared" si="24"/>
        <v>0</v>
      </c>
      <c r="AH86" s="153">
        <f t="shared" ref="AH86:AH149" si="30">ROUND((Z86+AB86+AD86+AF86)*X86%,2)</f>
        <v>0</v>
      </c>
      <c r="AI86" s="153"/>
      <c r="AJ86" s="153">
        <f t="shared" ref="AJ86:AJ149" si="31">SUM(Z86:AH86)</f>
        <v>0</v>
      </c>
      <c r="AK86" s="153">
        <f t="shared" ref="AK86:AK149" si="32">AJ86*12</f>
        <v>0</v>
      </c>
      <c r="AL86" s="153"/>
      <c r="AM86" s="153">
        <f>AK85*W85+AK86*W86</f>
        <v>0</v>
      </c>
      <c r="AN86" s="153">
        <f>(SUM(AD85:AG85)*W85+SUM(AD86:AG86)*W86)*12*VLOOKUP(C86,JNovergang,3,1)</f>
        <v>0</v>
      </c>
      <c r="AO86" s="153">
        <f>AM86-AN86</f>
        <v>0</v>
      </c>
      <c r="AP86" s="153">
        <f>M86*(100+X86)%</f>
        <v>0</v>
      </c>
      <c r="AQ86" s="248">
        <f>ROUND(M86*F86,2)</f>
        <v>0</v>
      </c>
      <c r="AS86" s="248">
        <f>ROUND((AP86+AQ86)+AM86*(N86/12),0)</f>
        <v>0</v>
      </c>
      <c r="AT86" s="248">
        <f>ROUND(AM86*(O86/12),0)</f>
        <v>0</v>
      </c>
      <c r="AU86" s="248">
        <f>ROUND(AM86*(P86/12)*U86,0)</f>
        <v>0</v>
      </c>
      <c r="AW86" s="129">
        <f t="shared" ref="AW86:AW149" si="33">IF(ISNUMBER(C86),ROW(),0)</f>
        <v>0</v>
      </c>
    </row>
    <row r="87" spans="1:49" x14ac:dyDescent="0.15">
      <c r="A87" s="157"/>
      <c r="B87" s="158"/>
      <c r="C87" s="158"/>
      <c r="D87" s="149" t="str">
        <f t="shared" si="0"/>
        <v xml:space="preserve"> </v>
      </c>
      <c r="E87" s="161"/>
      <c r="F87" s="261">
        <v>0</v>
      </c>
      <c r="G87" s="161">
        <v>37</v>
      </c>
      <c r="H87" s="161">
        <v>37</v>
      </c>
      <c r="I87" s="161"/>
      <c r="J87" s="163"/>
      <c r="K87" s="161"/>
      <c r="L87" s="163"/>
      <c r="M87" s="150"/>
      <c r="N87" s="150"/>
      <c r="O87" s="150"/>
      <c r="P87" s="150"/>
      <c r="Q87" s="151"/>
      <c r="R87" s="151"/>
      <c r="S87" s="152"/>
      <c r="V87" s="129">
        <f t="shared" si="25"/>
        <v>0</v>
      </c>
      <c r="W87" s="129">
        <f t="shared" si="26"/>
        <v>0</v>
      </c>
      <c r="X87" s="129">
        <f t="shared" si="18"/>
        <v>0</v>
      </c>
      <c r="Y87" s="129">
        <f t="shared" si="27"/>
        <v>65.337800000000001</v>
      </c>
      <c r="Z87" s="153">
        <f t="shared" si="19"/>
        <v>0</v>
      </c>
      <c r="AA87" s="248">
        <f t="shared" si="20"/>
        <v>0</v>
      </c>
      <c r="AB87" s="153">
        <f t="shared" si="28"/>
        <v>0</v>
      </c>
      <c r="AC87" s="248">
        <f t="shared" si="21"/>
        <v>0</v>
      </c>
      <c r="AD87" s="153">
        <f t="shared" si="22"/>
        <v>0</v>
      </c>
      <c r="AE87" s="248">
        <f t="shared" si="23"/>
        <v>0</v>
      </c>
      <c r="AF87" s="153">
        <f t="shared" si="29"/>
        <v>0</v>
      </c>
      <c r="AG87" s="248">
        <f t="shared" si="24"/>
        <v>0</v>
      </c>
      <c r="AH87" s="153">
        <f t="shared" si="30"/>
        <v>0</v>
      </c>
      <c r="AI87" s="153"/>
      <c r="AJ87" s="153">
        <f t="shared" si="31"/>
        <v>0</v>
      </c>
      <c r="AK87" s="153">
        <f t="shared" si="32"/>
        <v>0</v>
      </c>
      <c r="AL87" s="153"/>
      <c r="AM87" s="153"/>
      <c r="AN87" s="153"/>
      <c r="AQ87" s="153"/>
      <c r="AW87" s="129">
        <f t="shared" si="33"/>
        <v>0</v>
      </c>
    </row>
    <row r="88" spans="1:49" ht="9.75" thickBot="1" x14ac:dyDescent="0.2">
      <c r="A88" s="159"/>
      <c r="B88" s="160"/>
      <c r="C88" s="160"/>
      <c r="D88" s="154" t="str">
        <f>VLOOKUP(C88,Tabelændringskode,2,1)</f>
        <v xml:space="preserve"> </v>
      </c>
      <c r="E88" s="162"/>
      <c r="F88" s="262">
        <v>0</v>
      </c>
      <c r="G88" s="162">
        <v>37</v>
      </c>
      <c r="H88" s="162">
        <v>37</v>
      </c>
      <c r="I88" s="162"/>
      <c r="J88" s="164"/>
      <c r="K88" s="162"/>
      <c r="L88" s="164"/>
      <c r="M88" s="164"/>
      <c r="N88" s="162"/>
      <c r="O88" s="162"/>
      <c r="P88" s="162"/>
      <c r="Q88" s="155">
        <f>AS88</f>
        <v>0</v>
      </c>
      <c r="R88" s="155">
        <f>AT88</f>
        <v>0</v>
      </c>
      <c r="S88" s="156">
        <f>AU88</f>
        <v>0</v>
      </c>
      <c r="U88" s="129">
        <f>IF(OR(C87=5,C88=5),0,1)</f>
        <v>1</v>
      </c>
      <c r="V88" s="129">
        <f t="shared" si="25"/>
        <v>0</v>
      </c>
      <c r="W88" s="129">
        <f t="shared" si="26"/>
        <v>0</v>
      </c>
      <c r="X88" s="129">
        <f t="shared" si="18"/>
        <v>0</v>
      </c>
      <c r="Y88" s="129">
        <f t="shared" si="27"/>
        <v>65.337800000000001</v>
      </c>
      <c r="Z88" s="153">
        <f t="shared" si="19"/>
        <v>0</v>
      </c>
      <c r="AA88" s="248">
        <f t="shared" si="20"/>
        <v>0</v>
      </c>
      <c r="AB88" s="153">
        <f t="shared" si="28"/>
        <v>0</v>
      </c>
      <c r="AC88" s="248">
        <f t="shared" si="21"/>
        <v>0</v>
      </c>
      <c r="AD88" s="153">
        <f t="shared" si="22"/>
        <v>0</v>
      </c>
      <c r="AE88" s="248">
        <f t="shared" si="23"/>
        <v>0</v>
      </c>
      <c r="AF88" s="153">
        <f t="shared" si="29"/>
        <v>0</v>
      </c>
      <c r="AG88" s="248">
        <f t="shared" si="24"/>
        <v>0</v>
      </c>
      <c r="AH88" s="153">
        <f t="shared" si="30"/>
        <v>0</v>
      </c>
      <c r="AI88" s="153"/>
      <c r="AJ88" s="153">
        <f t="shared" si="31"/>
        <v>0</v>
      </c>
      <c r="AK88" s="153">
        <f t="shared" si="32"/>
        <v>0</v>
      </c>
      <c r="AL88" s="153"/>
      <c r="AM88" s="153">
        <f>AK87*W87+AK88*W88</f>
        <v>0</v>
      </c>
      <c r="AN88" s="153">
        <f>(SUM(AD87:AG87)*W87+SUM(AD88:AG88)*W88)*12*VLOOKUP(C88,JNovergang,3,1)</f>
        <v>0</v>
      </c>
      <c r="AO88" s="153">
        <f>AM88-AN88</f>
        <v>0</v>
      </c>
      <c r="AP88" s="153">
        <f>M88*(100+X88)%</f>
        <v>0</v>
      </c>
      <c r="AQ88" s="248">
        <f>ROUND(M88*F88,2)</f>
        <v>0</v>
      </c>
      <c r="AS88" s="248">
        <f>ROUND((AP88+AQ88)+AM88*(N88/12),0)</f>
        <v>0</v>
      </c>
      <c r="AT88" s="248">
        <f>ROUND(AM88*(O88/12),0)</f>
        <v>0</v>
      </c>
      <c r="AU88" s="248">
        <f>ROUND(AM88*(P88/12)*U88,0)</f>
        <v>0</v>
      </c>
      <c r="AW88" s="129">
        <f t="shared" si="33"/>
        <v>0</v>
      </c>
    </row>
    <row r="89" spans="1:49" x14ac:dyDescent="0.15">
      <c r="A89" s="157"/>
      <c r="B89" s="158"/>
      <c r="C89" s="158"/>
      <c r="D89" s="149" t="str">
        <f t="shared" si="0"/>
        <v xml:space="preserve"> </v>
      </c>
      <c r="E89" s="161"/>
      <c r="F89" s="261">
        <v>0</v>
      </c>
      <c r="G89" s="161">
        <v>37</v>
      </c>
      <c r="H89" s="161">
        <v>37</v>
      </c>
      <c r="I89" s="161"/>
      <c r="J89" s="163"/>
      <c r="K89" s="161"/>
      <c r="L89" s="163"/>
      <c r="M89" s="150"/>
      <c r="N89" s="150"/>
      <c r="O89" s="150"/>
      <c r="P89" s="150"/>
      <c r="Q89" s="151"/>
      <c r="R89" s="151"/>
      <c r="S89" s="152"/>
      <c r="V89" s="129">
        <f t="shared" si="25"/>
        <v>0</v>
      </c>
      <c r="W89" s="129">
        <f t="shared" si="26"/>
        <v>0</v>
      </c>
      <c r="X89" s="129">
        <f t="shared" si="18"/>
        <v>0</v>
      </c>
      <c r="Y89" s="129">
        <f t="shared" si="27"/>
        <v>65.337800000000001</v>
      </c>
      <c r="Z89" s="153">
        <f t="shared" si="19"/>
        <v>0</v>
      </c>
      <c r="AA89" s="248">
        <f t="shared" si="20"/>
        <v>0</v>
      </c>
      <c r="AB89" s="153">
        <f t="shared" si="28"/>
        <v>0</v>
      </c>
      <c r="AC89" s="248">
        <f t="shared" si="21"/>
        <v>0</v>
      </c>
      <c r="AD89" s="153">
        <f t="shared" si="22"/>
        <v>0</v>
      </c>
      <c r="AE89" s="248">
        <f t="shared" si="23"/>
        <v>0</v>
      </c>
      <c r="AF89" s="153">
        <f t="shared" si="29"/>
        <v>0</v>
      </c>
      <c r="AG89" s="248">
        <f t="shared" si="24"/>
        <v>0</v>
      </c>
      <c r="AH89" s="153">
        <f t="shared" si="30"/>
        <v>0</v>
      </c>
      <c r="AI89" s="153"/>
      <c r="AJ89" s="153">
        <f t="shared" si="31"/>
        <v>0</v>
      </c>
      <c r="AK89" s="153">
        <f t="shared" si="32"/>
        <v>0</v>
      </c>
      <c r="AL89" s="153"/>
      <c r="AM89" s="153"/>
      <c r="AN89" s="153"/>
      <c r="AQ89" s="153"/>
      <c r="AW89" s="129">
        <f t="shared" si="33"/>
        <v>0</v>
      </c>
    </row>
    <row r="90" spans="1:49" ht="9.75" thickBot="1" x14ac:dyDescent="0.2">
      <c r="A90" s="159"/>
      <c r="B90" s="160"/>
      <c r="C90" s="160"/>
      <c r="D90" s="154" t="str">
        <f>VLOOKUP(C90,Tabelændringskode,2,1)</f>
        <v xml:space="preserve"> </v>
      </c>
      <c r="E90" s="162"/>
      <c r="F90" s="262">
        <v>0</v>
      </c>
      <c r="G90" s="162">
        <v>37</v>
      </c>
      <c r="H90" s="162">
        <v>37</v>
      </c>
      <c r="I90" s="162"/>
      <c r="J90" s="164"/>
      <c r="K90" s="162"/>
      <c r="L90" s="164"/>
      <c r="M90" s="164"/>
      <c r="N90" s="162"/>
      <c r="O90" s="162"/>
      <c r="P90" s="162"/>
      <c r="Q90" s="155">
        <f>AS90</f>
        <v>0</v>
      </c>
      <c r="R90" s="155">
        <f>AT90</f>
        <v>0</v>
      </c>
      <c r="S90" s="156">
        <f>AU90</f>
        <v>0</v>
      </c>
      <c r="U90" s="129">
        <f>IF(OR(C89=5,C90=5),0,1)</f>
        <v>1</v>
      </c>
      <c r="V90" s="129">
        <f t="shared" si="25"/>
        <v>0</v>
      </c>
      <c r="W90" s="129">
        <f t="shared" si="26"/>
        <v>0</v>
      </c>
      <c r="X90" s="129">
        <f t="shared" si="18"/>
        <v>0</v>
      </c>
      <c r="Y90" s="129">
        <f t="shared" si="27"/>
        <v>65.337800000000001</v>
      </c>
      <c r="Z90" s="153">
        <f t="shared" si="19"/>
        <v>0</v>
      </c>
      <c r="AA90" s="248">
        <f t="shared" si="20"/>
        <v>0</v>
      </c>
      <c r="AB90" s="153">
        <f t="shared" si="28"/>
        <v>0</v>
      </c>
      <c r="AC90" s="248">
        <f t="shared" si="21"/>
        <v>0</v>
      </c>
      <c r="AD90" s="153">
        <f t="shared" si="22"/>
        <v>0</v>
      </c>
      <c r="AE90" s="248">
        <f t="shared" si="23"/>
        <v>0</v>
      </c>
      <c r="AF90" s="153">
        <f t="shared" si="29"/>
        <v>0</v>
      </c>
      <c r="AG90" s="248">
        <f t="shared" si="24"/>
        <v>0</v>
      </c>
      <c r="AH90" s="153">
        <f t="shared" si="30"/>
        <v>0</v>
      </c>
      <c r="AI90" s="153"/>
      <c r="AJ90" s="153">
        <f t="shared" si="31"/>
        <v>0</v>
      </c>
      <c r="AK90" s="153">
        <f t="shared" si="32"/>
        <v>0</v>
      </c>
      <c r="AL90" s="153"/>
      <c r="AM90" s="153">
        <f>AK89*W89+AK90*W90</f>
        <v>0</v>
      </c>
      <c r="AN90" s="153">
        <f>(SUM(AD89:AG89)*W89+SUM(AD90:AG90)*W90)*12*VLOOKUP(C90,JNovergang,3,1)</f>
        <v>0</v>
      </c>
      <c r="AO90" s="153">
        <f>AM90-AN90</f>
        <v>0</v>
      </c>
      <c r="AP90" s="153">
        <f>M90*(100+X90)%</f>
        <v>0</v>
      </c>
      <c r="AQ90" s="248">
        <f>ROUND(M90*F90,2)</f>
        <v>0</v>
      </c>
      <c r="AS90" s="248">
        <f>ROUND((AP90+AQ90)+AM90*(N90/12),0)</f>
        <v>0</v>
      </c>
      <c r="AT90" s="248">
        <f>ROUND(AM90*(O90/12),0)</f>
        <v>0</v>
      </c>
      <c r="AU90" s="248">
        <f>ROUND(AM90*(P90/12)*U90,0)</f>
        <v>0</v>
      </c>
      <c r="AW90" s="129">
        <f t="shared" si="33"/>
        <v>0</v>
      </c>
    </row>
    <row r="91" spans="1:49" x14ac:dyDescent="0.15">
      <c r="A91" s="157"/>
      <c r="B91" s="158"/>
      <c r="C91" s="158"/>
      <c r="D91" s="149" t="str">
        <f t="shared" si="0"/>
        <v xml:space="preserve"> </v>
      </c>
      <c r="E91" s="161"/>
      <c r="F91" s="261">
        <v>0</v>
      </c>
      <c r="G91" s="161">
        <v>37</v>
      </c>
      <c r="H91" s="161">
        <v>37</v>
      </c>
      <c r="I91" s="161"/>
      <c r="J91" s="163"/>
      <c r="K91" s="161"/>
      <c r="L91" s="163"/>
      <c r="M91" s="150"/>
      <c r="N91" s="150"/>
      <c r="O91" s="150"/>
      <c r="P91" s="150"/>
      <c r="Q91" s="151"/>
      <c r="R91" s="151"/>
      <c r="S91" s="152"/>
      <c r="V91" s="129">
        <f t="shared" si="25"/>
        <v>0</v>
      </c>
      <c r="W91" s="129">
        <f t="shared" si="26"/>
        <v>0</v>
      </c>
      <c r="X91" s="129">
        <f t="shared" si="18"/>
        <v>0</v>
      </c>
      <c r="Y91" s="129">
        <f t="shared" si="27"/>
        <v>65.337800000000001</v>
      </c>
      <c r="Z91" s="153">
        <f t="shared" si="19"/>
        <v>0</v>
      </c>
      <c r="AA91" s="248">
        <f t="shared" si="20"/>
        <v>0</v>
      </c>
      <c r="AB91" s="153">
        <f t="shared" si="28"/>
        <v>0</v>
      </c>
      <c r="AC91" s="248">
        <f t="shared" si="21"/>
        <v>0</v>
      </c>
      <c r="AD91" s="153">
        <f t="shared" si="22"/>
        <v>0</v>
      </c>
      <c r="AE91" s="248">
        <f t="shared" si="23"/>
        <v>0</v>
      </c>
      <c r="AF91" s="153">
        <f t="shared" si="29"/>
        <v>0</v>
      </c>
      <c r="AG91" s="248">
        <f t="shared" si="24"/>
        <v>0</v>
      </c>
      <c r="AH91" s="153">
        <f t="shared" si="30"/>
        <v>0</v>
      </c>
      <c r="AI91" s="153"/>
      <c r="AJ91" s="153">
        <f t="shared" si="31"/>
        <v>0</v>
      </c>
      <c r="AK91" s="153">
        <f t="shared" si="32"/>
        <v>0</v>
      </c>
      <c r="AL91" s="153"/>
      <c r="AM91" s="153"/>
      <c r="AN91" s="153"/>
      <c r="AQ91" s="153"/>
      <c r="AW91" s="129">
        <f t="shared" si="33"/>
        <v>0</v>
      </c>
    </row>
    <row r="92" spans="1:49" ht="9.75" thickBot="1" x14ac:dyDescent="0.2">
      <c r="A92" s="159"/>
      <c r="B92" s="160"/>
      <c r="C92" s="160"/>
      <c r="D92" s="154" t="str">
        <f>VLOOKUP(C92,Tabelændringskode,2,1)</f>
        <v xml:space="preserve"> </v>
      </c>
      <c r="E92" s="162"/>
      <c r="F92" s="262">
        <v>0</v>
      </c>
      <c r="G92" s="162">
        <v>37</v>
      </c>
      <c r="H92" s="162">
        <v>37</v>
      </c>
      <c r="I92" s="162"/>
      <c r="J92" s="164"/>
      <c r="K92" s="162"/>
      <c r="L92" s="164"/>
      <c r="M92" s="164"/>
      <c r="N92" s="162"/>
      <c r="O92" s="162"/>
      <c r="P92" s="162"/>
      <c r="Q92" s="155">
        <f>AS92</f>
        <v>0</v>
      </c>
      <c r="R92" s="155">
        <f>AT92</f>
        <v>0</v>
      </c>
      <c r="S92" s="156">
        <f>AU92</f>
        <v>0</v>
      </c>
      <c r="U92" s="129">
        <f>IF(OR(C91=5,C92=5),0,1)</f>
        <v>1</v>
      </c>
      <c r="V92" s="129">
        <f t="shared" si="25"/>
        <v>0</v>
      </c>
      <c r="W92" s="129">
        <f t="shared" si="26"/>
        <v>0</v>
      </c>
      <c r="X92" s="129">
        <f t="shared" si="18"/>
        <v>0</v>
      </c>
      <c r="Y92" s="129">
        <f t="shared" si="27"/>
        <v>65.337800000000001</v>
      </c>
      <c r="Z92" s="153">
        <f t="shared" si="19"/>
        <v>0</v>
      </c>
      <c r="AA92" s="248">
        <f t="shared" si="20"/>
        <v>0</v>
      </c>
      <c r="AB92" s="153">
        <f t="shared" si="28"/>
        <v>0</v>
      </c>
      <c r="AC92" s="248">
        <f t="shared" si="21"/>
        <v>0</v>
      </c>
      <c r="AD92" s="153">
        <f t="shared" si="22"/>
        <v>0</v>
      </c>
      <c r="AE92" s="248">
        <f t="shared" si="23"/>
        <v>0</v>
      </c>
      <c r="AF92" s="153">
        <f t="shared" si="29"/>
        <v>0</v>
      </c>
      <c r="AG92" s="248">
        <f t="shared" si="24"/>
        <v>0</v>
      </c>
      <c r="AH92" s="153">
        <f t="shared" si="30"/>
        <v>0</v>
      </c>
      <c r="AI92" s="153"/>
      <c r="AJ92" s="153">
        <f t="shared" si="31"/>
        <v>0</v>
      </c>
      <c r="AK92" s="153">
        <f t="shared" si="32"/>
        <v>0</v>
      </c>
      <c r="AL92" s="153"/>
      <c r="AM92" s="153">
        <f>AK91*W91+AK92*W92</f>
        <v>0</v>
      </c>
      <c r="AN92" s="153">
        <f>(SUM(AD91:AG91)*W91+SUM(AD92:AG92)*W92)*12*VLOOKUP(C92,JNovergang,3,1)</f>
        <v>0</v>
      </c>
      <c r="AO92" s="153">
        <f>AM92-AN92</f>
        <v>0</v>
      </c>
      <c r="AP92" s="153">
        <f>M92*(100+X92)%</f>
        <v>0</v>
      </c>
      <c r="AQ92" s="248">
        <f>ROUND(M92*F92,2)</f>
        <v>0</v>
      </c>
      <c r="AS92" s="248">
        <f>ROUND((AP92+AQ92)+AM92*(N92/12),0)</f>
        <v>0</v>
      </c>
      <c r="AT92" s="248">
        <f>ROUND(AM92*(O92/12),0)</f>
        <v>0</v>
      </c>
      <c r="AU92" s="248">
        <f>ROUND(AM92*(P92/12)*U92,0)</f>
        <v>0</v>
      </c>
      <c r="AW92" s="129">
        <f t="shared" si="33"/>
        <v>0</v>
      </c>
    </row>
    <row r="93" spans="1:49" x14ac:dyDescent="0.15">
      <c r="A93" s="157"/>
      <c r="B93" s="158"/>
      <c r="C93" s="158"/>
      <c r="D93" s="149" t="str">
        <f t="shared" si="0"/>
        <v xml:space="preserve"> </v>
      </c>
      <c r="E93" s="161"/>
      <c r="F93" s="261">
        <v>0</v>
      </c>
      <c r="G93" s="161">
        <v>37</v>
      </c>
      <c r="H93" s="161">
        <v>37</v>
      </c>
      <c r="I93" s="161"/>
      <c r="J93" s="163"/>
      <c r="K93" s="161"/>
      <c r="L93" s="163"/>
      <c r="M93" s="150"/>
      <c r="N93" s="150"/>
      <c r="O93" s="150"/>
      <c r="P93" s="150"/>
      <c r="Q93" s="151"/>
      <c r="R93" s="151"/>
      <c r="S93" s="152"/>
      <c r="V93" s="129">
        <f t="shared" si="25"/>
        <v>0</v>
      </c>
      <c r="W93" s="129">
        <f t="shared" si="26"/>
        <v>0</v>
      </c>
      <c r="X93" s="129">
        <f t="shared" si="18"/>
        <v>0</v>
      </c>
      <c r="Y93" s="129">
        <f t="shared" si="27"/>
        <v>65.337800000000001</v>
      </c>
      <c r="Z93" s="153">
        <f t="shared" si="19"/>
        <v>0</v>
      </c>
      <c r="AA93" s="248">
        <f t="shared" si="20"/>
        <v>0</v>
      </c>
      <c r="AB93" s="153">
        <f t="shared" si="28"/>
        <v>0</v>
      </c>
      <c r="AC93" s="248">
        <f t="shared" si="21"/>
        <v>0</v>
      </c>
      <c r="AD93" s="153">
        <f t="shared" si="22"/>
        <v>0</v>
      </c>
      <c r="AE93" s="248">
        <f t="shared" si="23"/>
        <v>0</v>
      </c>
      <c r="AF93" s="153">
        <f t="shared" si="29"/>
        <v>0</v>
      </c>
      <c r="AG93" s="248">
        <f t="shared" si="24"/>
        <v>0</v>
      </c>
      <c r="AH93" s="153">
        <f t="shared" si="30"/>
        <v>0</v>
      </c>
      <c r="AI93" s="153"/>
      <c r="AJ93" s="153">
        <f t="shared" si="31"/>
        <v>0</v>
      </c>
      <c r="AK93" s="153">
        <f t="shared" si="32"/>
        <v>0</v>
      </c>
      <c r="AL93" s="153"/>
      <c r="AM93" s="153"/>
      <c r="AN93" s="153"/>
      <c r="AQ93" s="153"/>
      <c r="AW93" s="129">
        <f t="shared" si="33"/>
        <v>0</v>
      </c>
    </row>
    <row r="94" spans="1:49" ht="9.75" thickBot="1" x14ac:dyDescent="0.2">
      <c r="A94" s="159"/>
      <c r="B94" s="160"/>
      <c r="C94" s="160"/>
      <c r="D94" s="154" t="str">
        <f>VLOOKUP(C94,Tabelændringskode,2,1)</f>
        <v xml:space="preserve"> </v>
      </c>
      <c r="E94" s="162"/>
      <c r="F94" s="262">
        <v>0</v>
      </c>
      <c r="G94" s="162">
        <v>37</v>
      </c>
      <c r="H94" s="162">
        <v>37</v>
      </c>
      <c r="I94" s="162"/>
      <c r="J94" s="164"/>
      <c r="K94" s="162"/>
      <c r="L94" s="164"/>
      <c r="M94" s="164"/>
      <c r="N94" s="162"/>
      <c r="O94" s="162"/>
      <c r="P94" s="162"/>
      <c r="Q94" s="155">
        <f>AS94</f>
        <v>0</v>
      </c>
      <c r="R94" s="155">
        <f>AT94</f>
        <v>0</v>
      </c>
      <c r="S94" s="156">
        <f>AU94</f>
        <v>0</v>
      </c>
      <c r="U94" s="129">
        <f>IF(OR(C93=5,C94=5),0,1)</f>
        <v>1</v>
      </c>
      <c r="V94" s="129">
        <f t="shared" si="25"/>
        <v>0</v>
      </c>
      <c r="W94" s="129">
        <f t="shared" si="26"/>
        <v>0</v>
      </c>
      <c r="X94" s="129">
        <f t="shared" si="18"/>
        <v>0</v>
      </c>
      <c r="Y94" s="129">
        <f t="shared" si="27"/>
        <v>65.337800000000001</v>
      </c>
      <c r="Z94" s="153">
        <f t="shared" si="19"/>
        <v>0</v>
      </c>
      <c r="AA94" s="248">
        <f t="shared" si="20"/>
        <v>0</v>
      </c>
      <c r="AB94" s="153">
        <f t="shared" si="28"/>
        <v>0</v>
      </c>
      <c r="AC94" s="248">
        <f t="shared" si="21"/>
        <v>0</v>
      </c>
      <c r="AD94" s="153">
        <f t="shared" si="22"/>
        <v>0</v>
      </c>
      <c r="AE94" s="248">
        <f t="shared" si="23"/>
        <v>0</v>
      </c>
      <c r="AF94" s="153">
        <f t="shared" si="29"/>
        <v>0</v>
      </c>
      <c r="AG94" s="248">
        <f t="shared" si="24"/>
        <v>0</v>
      </c>
      <c r="AH94" s="153">
        <f t="shared" si="30"/>
        <v>0</v>
      </c>
      <c r="AI94" s="153"/>
      <c r="AJ94" s="153">
        <f t="shared" si="31"/>
        <v>0</v>
      </c>
      <c r="AK94" s="153">
        <f t="shared" si="32"/>
        <v>0</v>
      </c>
      <c r="AL94" s="153"/>
      <c r="AM94" s="153">
        <f>AK93*W93+AK94*W94</f>
        <v>0</v>
      </c>
      <c r="AN94" s="153">
        <f>(SUM(AD93:AG93)*W93+SUM(AD94:AG94)*W94)*12*VLOOKUP(C94,JNovergang,3,1)</f>
        <v>0</v>
      </c>
      <c r="AO94" s="153">
        <f>AM94-AN94</f>
        <v>0</v>
      </c>
      <c r="AP94" s="153">
        <f>M94*(100+X94)%</f>
        <v>0</v>
      </c>
      <c r="AQ94" s="248">
        <f>ROUND(M94*F94,2)</f>
        <v>0</v>
      </c>
      <c r="AS94" s="248">
        <f>ROUND((AP94+AQ94)+AM94*(N94/12),0)</f>
        <v>0</v>
      </c>
      <c r="AT94" s="248">
        <f>ROUND(AM94*(O94/12),0)</f>
        <v>0</v>
      </c>
      <c r="AU94" s="248">
        <f>ROUND(AM94*(P94/12)*U94,0)</f>
        <v>0</v>
      </c>
      <c r="AW94" s="129">
        <f t="shared" si="33"/>
        <v>0</v>
      </c>
    </row>
    <row r="95" spans="1:49" x14ac:dyDescent="0.15">
      <c r="A95" s="157"/>
      <c r="B95" s="158"/>
      <c r="C95" s="158"/>
      <c r="D95" s="149" t="str">
        <f t="shared" si="0"/>
        <v xml:space="preserve"> </v>
      </c>
      <c r="E95" s="161"/>
      <c r="F95" s="261">
        <v>0</v>
      </c>
      <c r="G95" s="161">
        <v>37</v>
      </c>
      <c r="H95" s="161">
        <v>37</v>
      </c>
      <c r="I95" s="161"/>
      <c r="J95" s="163"/>
      <c r="K95" s="161"/>
      <c r="L95" s="163"/>
      <c r="M95" s="150"/>
      <c r="N95" s="150"/>
      <c r="O95" s="150"/>
      <c r="P95" s="150"/>
      <c r="Q95" s="151"/>
      <c r="R95" s="151"/>
      <c r="S95" s="152"/>
      <c r="V95" s="129">
        <f t="shared" si="25"/>
        <v>0</v>
      </c>
      <c r="W95" s="129">
        <f t="shared" si="26"/>
        <v>0</v>
      </c>
      <c r="X95" s="129">
        <f t="shared" si="18"/>
        <v>0</v>
      </c>
      <c r="Y95" s="129">
        <f t="shared" si="27"/>
        <v>65.337800000000001</v>
      </c>
      <c r="Z95" s="153">
        <f t="shared" si="19"/>
        <v>0</v>
      </c>
      <c r="AA95" s="248">
        <f t="shared" si="20"/>
        <v>0</v>
      </c>
      <c r="AB95" s="153">
        <f t="shared" si="28"/>
        <v>0</v>
      </c>
      <c r="AC95" s="248">
        <f t="shared" si="21"/>
        <v>0</v>
      </c>
      <c r="AD95" s="153">
        <f t="shared" si="22"/>
        <v>0</v>
      </c>
      <c r="AE95" s="248">
        <f t="shared" si="23"/>
        <v>0</v>
      </c>
      <c r="AF95" s="153">
        <f t="shared" si="29"/>
        <v>0</v>
      </c>
      <c r="AG95" s="248">
        <f t="shared" si="24"/>
        <v>0</v>
      </c>
      <c r="AH95" s="153">
        <f t="shared" si="30"/>
        <v>0</v>
      </c>
      <c r="AI95" s="153"/>
      <c r="AJ95" s="153">
        <f t="shared" si="31"/>
        <v>0</v>
      </c>
      <c r="AK95" s="153">
        <f t="shared" si="32"/>
        <v>0</v>
      </c>
      <c r="AL95" s="153"/>
      <c r="AM95" s="153"/>
      <c r="AN95" s="153"/>
      <c r="AQ95" s="153"/>
      <c r="AW95" s="129">
        <f t="shared" si="33"/>
        <v>0</v>
      </c>
    </row>
    <row r="96" spans="1:49" ht="9.75" thickBot="1" x14ac:dyDescent="0.2">
      <c r="A96" s="159"/>
      <c r="B96" s="160"/>
      <c r="C96" s="160"/>
      <c r="D96" s="154" t="str">
        <f>VLOOKUP(C96,Tabelændringskode,2,1)</f>
        <v xml:space="preserve"> </v>
      </c>
      <c r="E96" s="162"/>
      <c r="F96" s="262">
        <v>0</v>
      </c>
      <c r="G96" s="162">
        <v>37</v>
      </c>
      <c r="H96" s="162">
        <v>37</v>
      </c>
      <c r="I96" s="162"/>
      <c r="J96" s="164"/>
      <c r="K96" s="162"/>
      <c r="L96" s="164"/>
      <c r="M96" s="164"/>
      <c r="N96" s="162"/>
      <c r="O96" s="162"/>
      <c r="P96" s="162"/>
      <c r="Q96" s="155">
        <f>AS96</f>
        <v>0</v>
      </c>
      <c r="R96" s="155">
        <f>AT96</f>
        <v>0</v>
      </c>
      <c r="S96" s="156">
        <f>AU96</f>
        <v>0</v>
      </c>
      <c r="U96" s="129">
        <f>IF(OR(C95=5,C96=5),0,1)</f>
        <v>1</v>
      </c>
      <c r="V96" s="129">
        <f t="shared" si="25"/>
        <v>0</v>
      </c>
      <c r="W96" s="129">
        <f t="shared" si="26"/>
        <v>0</v>
      </c>
      <c r="X96" s="129">
        <f t="shared" si="18"/>
        <v>0</v>
      </c>
      <c r="Y96" s="129">
        <f t="shared" si="27"/>
        <v>65.337800000000001</v>
      </c>
      <c r="Z96" s="153">
        <f t="shared" si="19"/>
        <v>0</v>
      </c>
      <c r="AA96" s="248">
        <f t="shared" si="20"/>
        <v>0</v>
      </c>
      <c r="AB96" s="153">
        <f t="shared" si="28"/>
        <v>0</v>
      </c>
      <c r="AC96" s="248">
        <f t="shared" si="21"/>
        <v>0</v>
      </c>
      <c r="AD96" s="153">
        <f t="shared" si="22"/>
        <v>0</v>
      </c>
      <c r="AE96" s="248">
        <f t="shared" si="23"/>
        <v>0</v>
      </c>
      <c r="AF96" s="153">
        <f t="shared" si="29"/>
        <v>0</v>
      </c>
      <c r="AG96" s="248">
        <f t="shared" si="24"/>
        <v>0</v>
      </c>
      <c r="AH96" s="153">
        <f t="shared" si="30"/>
        <v>0</v>
      </c>
      <c r="AI96" s="153"/>
      <c r="AJ96" s="153">
        <f t="shared" si="31"/>
        <v>0</v>
      </c>
      <c r="AK96" s="153">
        <f t="shared" si="32"/>
        <v>0</v>
      </c>
      <c r="AL96" s="153"/>
      <c r="AM96" s="153">
        <f>AK95*W95+AK96*W96</f>
        <v>0</v>
      </c>
      <c r="AN96" s="153">
        <f>(SUM(AD95:AG95)*W95+SUM(AD96:AG96)*W96)*12*VLOOKUP(C96,JNovergang,3,1)</f>
        <v>0</v>
      </c>
      <c r="AO96" s="153">
        <f>AM96-AN96</f>
        <v>0</v>
      </c>
      <c r="AP96" s="153">
        <f>M96*(100+X96)%</f>
        <v>0</v>
      </c>
      <c r="AQ96" s="248">
        <f>ROUND(M96*F96,2)</f>
        <v>0</v>
      </c>
      <c r="AS96" s="248">
        <f>ROUND((AP96+AQ96)+AM96*(N96/12),0)</f>
        <v>0</v>
      </c>
      <c r="AT96" s="248">
        <f>ROUND(AM96*(O96/12),0)</f>
        <v>0</v>
      </c>
      <c r="AU96" s="248">
        <f>ROUND(AM96*(P96/12)*U96,0)</f>
        <v>0</v>
      </c>
      <c r="AW96" s="129">
        <f t="shared" si="33"/>
        <v>0</v>
      </c>
    </row>
    <row r="97" spans="1:49" x14ac:dyDescent="0.15">
      <c r="A97" s="157"/>
      <c r="B97" s="158"/>
      <c r="C97" s="158"/>
      <c r="D97" s="149" t="str">
        <f t="shared" si="0"/>
        <v xml:space="preserve"> </v>
      </c>
      <c r="E97" s="161"/>
      <c r="F97" s="261">
        <v>0</v>
      </c>
      <c r="G97" s="161">
        <v>37</v>
      </c>
      <c r="H97" s="161">
        <v>37</v>
      </c>
      <c r="I97" s="161"/>
      <c r="J97" s="163"/>
      <c r="K97" s="161"/>
      <c r="L97" s="163"/>
      <c r="M97" s="150"/>
      <c r="N97" s="150"/>
      <c r="O97" s="150"/>
      <c r="P97" s="150"/>
      <c r="Q97" s="151"/>
      <c r="R97" s="151"/>
      <c r="S97" s="152"/>
      <c r="V97" s="129">
        <f t="shared" si="25"/>
        <v>0</v>
      </c>
      <c r="W97" s="129">
        <f t="shared" si="26"/>
        <v>0</v>
      </c>
      <c r="X97" s="129">
        <f t="shared" si="18"/>
        <v>0</v>
      </c>
      <c r="Y97" s="129">
        <f t="shared" si="27"/>
        <v>65.337800000000001</v>
      </c>
      <c r="Z97" s="153">
        <f t="shared" si="19"/>
        <v>0</v>
      </c>
      <c r="AA97" s="248">
        <f t="shared" si="20"/>
        <v>0</v>
      </c>
      <c r="AB97" s="153">
        <f t="shared" si="28"/>
        <v>0</v>
      </c>
      <c r="AC97" s="248">
        <f t="shared" si="21"/>
        <v>0</v>
      </c>
      <c r="AD97" s="153">
        <f t="shared" si="22"/>
        <v>0</v>
      </c>
      <c r="AE97" s="248">
        <f t="shared" si="23"/>
        <v>0</v>
      </c>
      <c r="AF97" s="153">
        <f t="shared" si="29"/>
        <v>0</v>
      </c>
      <c r="AG97" s="248">
        <f t="shared" si="24"/>
        <v>0</v>
      </c>
      <c r="AH97" s="153">
        <f t="shared" si="30"/>
        <v>0</v>
      </c>
      <c r="AI97" s="153"/>
      <c r="AJ97" s="153">
        <f t="shared" si="31"/>
        <v>0</v>
      </c>
      <c r="AK97" s="153">
        <f t="shared" si="32"/>
        <v>0</v>
      </c>
      <c r="AL97" s="153"/>
      <c r="AM97" s="153"/>
      <c r="AN97" s="153"/>
      <c r="AQ97" s="153"/>
      <c r="AW97" s="129">
        <f t="shared" si="33"/>
        <v>0</v>
      </c>
    </row>
    <row r="98" spans="1:49" ht="9.75" thickBot="1" x14ac:dyDescent="0.2">
      <c r="A98" s="159"/>
      <c r="B98" s="160"/>
      <c r="C98" s="160"/>
      <c r="D98" s="154" t="str">
        <f>VLOOKUP(C98,Tabelændringskode,2,1)</f>
        <v xml:space="preserve"> </v>
      </c>
      <c r="E98" s="162"/>
      <c r="F98" s="262">
        <v>0</v>
      </c>
      <c r="G98" s="162">
        <v>37</v>
      </c>
      <c r="H98" s="162">
        <v>37</v>
      </c>
      <c r="I98" s="162"/>
      <c r="J98" s="164"/>
      <c r="K98" s="162"/>
      <c r="L98" s="164"/>
      <c r="M98" s="164"/>
      <c r="N98" s="162"/>
      <c r="O98" s="162"/>
      <c r="P98" s="162"/>
      <c r="Q98" s="155">
        <f>AS98</f>
        <v>0</v>
      </c>
      <c r="R98" s="155">
        <f>AT98</f>
        <v>0</v>
      </c>
      <c r="S98" s="156">
        <f>AU98</f>
        <v>0</v>
      </c>
      <c r="U98" s="129">
        <f>IF(OR(C97=5,C98=5),0,1)</f>
        <v>1</v>
      </c>
      <c r="V98" s="129">
        <f t="shared" si="25"/>
        <v>0</v>
      </c>
      <c r="W98" s="129">
        <f t="shared" si="26"/>
        <v>0</v>
      </c>
      <c r="X98" s="129">
        <f t="shared" si="18"/>
        <v>0</v>
      </c>
      <c r="Y98" s="129">
        <f t="shared" si="27"/>
        <v>65.337800000000001</v>
      </c>
      <c r="Z98" s="153">
        <f t="shared" si="19"/>
        <v>0</v>
      </c>
      <c r="AA98" s="248">
        <f t="shared" si="20"/>
        <v>0</v>
      </c>
      <c r="AB98" s="153">
        <f t="shared" si="28"/>
        <v>0</v>
      </c>
      <c r="AC98" s="248">
        <f t="shared" si="21"/>
        <v>0</v>
      </c>
      <c r="AD98" s="153">
        <f t="shared" si="22"/>
        <v>0</v>
      </c>
      <c r="AE98" s="248">
        <f t="shared" si="23"/>
        <v>0</v>
      </c>
      <c r="AF98" s="153">
        <f t="shared" si="29"/>
        <v>0</v>
      </c>
      <c r="AG98" s="248">
        <f t="shared" si="24"/>
        <v>0</v>
      </c>
      <c r="AH98" s="153">
        <f t="shared" si="30"/>
        <v>0</v>
      </c>
      <c r="AI98" s="153"/>
      <c r="AJ98" s="153">
        <f t="shared" si="31"/>
        <v>0</v>
      </c>
      <c r="AK98" s="153">
        <f t="shared" si="32"/>
        <v>0</v>
      </c>
      <c r="AL98" s="153"/>
      <c r="AM98" s="153">
        <f>AK97*W97+AK98*W98</f>
        <v>0</v>
      </c>
      <c r="AN98" s="153">
        <f>(SUM(AD97:AG97)*W97+SUM(AD98:AG98)*W98)*12*VLOOKUP(C98,JNovergang,3,1)</f>
        <v>0</v>
      </c>
      <c r="AO98" s="153">
        <f>AM98-AN98</f>
        <v>0</v>
      </c>
      <c r="AP98" s="153">
        <f>M98*(100+X98)%</f>
        <v>0</v>
      </c>
      <c r="AQ98" s="248">
        <f>ROUND(M98*F98,2)</f>
        <v>0</v>
      </c>
      <c r="AS98" s="248">
        <f>ROUND((AP98+AQ98)+AM98*(N98/12),0)</f>
        <v>0</v>
      </c>
      <c r="AT98" s="248">
        <f>ROUND(AM98*(O98/12),0)</f>
        <v>0</v>
      </c>
      <c r="AU98" s="248">
        <f>ROUND(AM98*(P98/12)*U98,0)</f>
        <v>0</v>
      </c>
      <c r="AW98" s="129">
        <f t="shared" si="33"/>
        <v>0</v>
      </c>
    </row>
    <row r="99" spans="1:49" x14ac:dyDescent="0.15">
      <c r="A99" s="157"/>
      <c r="B99" s="158"/>
      <c r="C99" s="158"/>
      <c r="D99" s="149" t="str">
        <f t="shared" si="0"/>
        <v xml:space="preserve"> </v>
      </c>
      <c r="E99" s="161"/>
      <c r="F99" s="261">
        <v>0</v>
      </c>
      <c r="G99" s="161">
        <v>37</v>
      </c>
      <c r="H99" s="161">
        <v>37</v>
      </c>
      <c r="I99" s="161"/>
      <c r="J99" s="163"/>
      <c r="K99" s="161"/>
      <c r="L99" s="163"/>
      <c r="M99" s="150"/>
      <c r="N99" s="150"/>
      <c r="O99" s="150"/>
      <c r="P99" s="150"/>
      <c r="Q99" s="151"/>
      <c r="R99" s="151"/>
      <c r="S99" s="152"/>
      <c r="V99" s="129">
        <f t="shared" si="25"/>
        <v>0</v>
      </c>
      <c r="W99" s="129">
        <f t="shared" si="26"/>
        <v>0</v>
      </c>
      <c r="X99" s="129">
        <f t="shared" si="18"/>
        <v>0</v>
      </c>
      <c r="Y99" s="129">
        <f t="shared" si="27"/>
        <v>65.337800000000001</v>
      </c>
      <c r="Z99" s="153">
        <f t="shared" si="19"/>
        <v>0</v>
      </c>
      <c r="AA99" s="248">
        <f t="shared" si="20"/>
        <v>0</v>
      </c>
      <c r="AB99" s="153">
        <f t="shared" si="28"/>
        <v>0</v>
      </c>
      <c r="AC99" s="248">
        <f t="shared" si="21"/>
        <v>0</v>
      </c>
      <c r="AD99" s="153">
        <f t="shared" si="22"/>
        <v>0</v>
      </c>
      <c r="AE99" s="248">
        <f t="shared" si="23"/>
        <v>0</v>
      </c>
      <c r="AF99" s="153">
        <f t="shared" si="29"/>
        <v>0</v>
      </c>
      <c r="AG99" s="248">
        <f t="shared" si="24"/>
        <v>0</v>
      </c>
      <c r="AH99" s="153">
        <f t="shared" si="30"/>
        <v>0</v>
      </c>
      <c r="AI99" s="153"/>
      <c r="AJ99" s="153">
        <f t="shared" si="31"/>
        <v>0</v>
      </c>
      <c r="AK99" s="153">
        <f t="shared" si="32"/>
        <v>0</v>
      </c>
      <c r="AL99" s="153"/>
      <c r="AM99" s="153"/>
      <c r="AN99" s="153"/>
      <c r="AQ99" s="153"/>
      <c r="AW99" s="129">
        <f t="shared" si="33"/>
        <v>0</v>
      </c>
    </row>
    <row r="100" spans="1:49" ht="9.75" thickBot="1" x14ac:dyDescent="0.2">
      <c r="A100" s="159"/>
      <c r="B100" s="160"/>
      <c r="C100" s="160"/>
      <c r="D100" s="154" t="str">
        <f>VLOOKUP(C100,Tabelændringskode,2,1)</f>
        <v xml:space="preserve"> </v>
      </c>
      <c r="E100" s="162"/>
      <c r="F100" s="262">
        <v>0</v>
      </c>
      <c r="G100" s="162">
        <v>37</v>
      </c>
      <c r="H100" s="162">
        <v>37</v>
      </c>
      <c r="I100" s="162"/>
      <c r="J100" s="164"/>
      <c r="K100" s="162"/>
      <c r="L100" s="164"/>
      <c r="M100" s="164"/>
      <c r="N100" s="162"/>
      <c r="O100" s="162"/>
      <c r="P100" s="162"/>
      <c r="Q100" s="155">
        <f>AS100</f>
        <v>0</v>
      </c>
      <c r="R100" s="155">
        <f>AT100</f>
        <v>0</v>
      </c>
      <c r="S100" s="156">
        <f>AU100</f>
        <v>0</v>
      </c>
      <c r="U100" s="129">
        <f>IF(OR(C99=5,C100=5),0,1)</f>
        <v>1</v>
      </c>
      <c r="V100" s="129">
        <f t="shared" si="25"/>
        <v>0</v>
      </c>
      <c r="W100" s="129">
        <f t="shared" si="26"/>
        <v>0</v>
      </c>
      <c r="X100" s="129">
        <f t="shared" si="18"/>
        <v>0</v>
      </c>
      <c r="Y100" s="129">
        <f t="shared" si="27"/>
        <v>65.337800000000001</v>
      </c>
      <c r="Z100" s="153">
        <f t="shared" si="19"/>
        <v>0</v>
      </c>
      <c r="AA100" s="248">
        <f t="shared" si="20"/>
        <v>0</v>
      </c>
      <c r="AB100" s="153">
        <f t="shared" si="28"/>
        <v>0</v>
      </c>
      <c r="AC100" s="248">
        <f t="shared" si="21"/>
        <v>0</v>
      </c>
      <c r="AD100" s="153">
        <f t="shared" si="22"/>
        <v>0</v>
      </c>
      <c r="AE100" s="248">
        <f t="shared" si="23"/>
        <v>0</v>
      </c>
      <c r="AF100" s="153">
        <f t="shared" si="29"/>
        <v>0</v>
      </c>
      <c r="AG100" s="248">
        <f t="shared" si="24"/>
        <v>0</v>
      </c>
      <c r="AH100" s="153">
        <f t="shared" si="30"/>
        <v>0</v>
      </c>
      <c r="AI100" s="153"/>
      <c r="AJ100" s="153">
        <f t="shared" si="31"/>
        <v>0</v>
      </c>
      <c r="AK100" s="153">
        <f t="shared" si="32"/>
        <v>0</v>
      </c>
      <c r="AL100" s="153"/>
      <c r="AM100" s="153">
        <f>AK99*W99+AK100*W100</f>
        <v>0</v>
      </c>
      <c r="AN100" s="153">
        <f>(SUM(AD99:AG99)*W99+SUM(AD100:AG100)*W100)*12*VLOOKUP(C100,JNovergang,3,1)</f>
        <v>0</v>
      </c>
      <c r="AO100" s="153">
        <f>AM100-AN100</f>
        <v>0</v>
      </c>
      <c r="AP100" s="153">
        <f>M100*(100+X100)%</f>
        <v>0</v>
      </c>
      <c r="AQ100" s="248">
        <f>ROUND(M100*F100,2)</f>
        <v>0</v>
      </c>
      <c r="AS100" s="248">
        <f>ROUND((AP100+AQ100)+AM100*(N100/12),0)</f>
        <v>0</v>
      </c>
      <c r="AT100" s="248">
        <f>ROUND(AM100*(O100/12),0)</f>
        <v>0</v>
      </c>
      <c r="AU100" s="248">
        <f>ROUND(AM100*(P100/12)*U100,0)</f>
        <v>0</v>
      </c>
      <c r="AW100" s="129">
        <f t="shared" si="33"/>
        <v>0</v>
      </c>
    </row>
    <row r="101" spans="1:49" x14ac:dyDescent="0.15">
      <c r="A101" s="157"/>
      <c r="B101" s="158"/>
      <c r="C101" s="158"/>
      <c r="D101" s="149" t="str">
        <f t="shared" si="0"/>
        <v xml:space="preserve"> </v>
      </c>
      <c r="E101" s="161"/>
      <c r="F101" s="261">
        <v>0</v>
      </c>
      <c r="G101" s="161">
        <v>37</v>
      </c>
      <c r="H101" s="161">
        <v>37</v>
      </c>
      <c r="I101" s="161"/>
      <c r="J101" s="163"/>
      <c r="K101" s="161"/>
      <c r="L101" s="163"/>
      <c r="M101" s="150"/>
      <c r="N101" s="150"/>
      <c r="O101" s="150"/>
      <c r="P101" s="150"/>
      <c r="Q101" s="151"/>
      <c r="R101" s="151"/>
      <c r="S101" s="152"/>
      <c r="V101" s="129">
        <f t="shared" si="25"/>
        <v>0</v>
      </c>
      <c r="W101" s="129">
        <f t="shared" si="26"/>
        <v>0</v>
      </c>
      <c r="X101" s="129">
        <f t="shared" si="18"/>
        <v>0</v>
      </c>
      <c r="Y101" s="129">
        <f t="shared" si="27"/>
        <v>65.337800000000001</v>
      </c>
      <c r="Z101" s="153">
        <f t="shared" si="19"/>
        <v>0</v>
      </c>
      <c r="AA101" s="248">
        <f t="shared" si="20"/>
        <v>0</v>
      </c>
      <c r="AB101" s="153">
        <f t="shared" si="28"/>
        <v>0</v>
      </c>
      <c r="AC101" s="248">
        <f t="shared" si="21"/>
        <v>0</v>
      </c>
      <c r="AD101" s="153">
        <f t="shared" si="22"/>
        <v>0</v>
      </c>
      <c r="AE101" s="248">
        <f t="shared" si="23"/>
        <v>0</v>
      </c>
      <c r="AF101" s="153">
        <f t="shared" si="29"/>
        <v>0</v>
      </c>
      <c r="AG101" s="248">
        <f t="shared" si="24"/>
        <v>0</v>
      </c>
      <c r="AH101" s="153">
        <f t="shared" si="30"/>
        <v>0</v>
      </c>
      <c r="AI101" s="153"/>
      <c r="AJ101" s="153">
        <f t="shared" si="31"/>
        <v>0</v>
      </c>
      <c r="AK101" s="153">
        <f t="shared" si="32"/>
        <v>0</v>
      </c>
      <c r="AL101" s="153"/>
      <c r="AM101" s="153"/>
      <c r="AN101" s="153"/>
      <c r="AQ101" s="153"/>
      <c r="AW101" s="129">
        <f t="shared" si="33"/>
        <v>0</v>
      </c>
    </row>
    <row r="102" spans="1:49" ht="9.75" thickBot="1" x14ac:dyDescent="0.2">
      <c r="A102" s="159"/>
      <c r="B102" s="160"/>
      <c r="C102" s="160"/>
      <c r="D102" s="154" t="str">
        <f>VLOOKUP(C102,Tabelændringskode,2,1)</f>
        <v xml:space="preserve"> </v>
      </c>
      <c r="E102" s="162"/>
      <c r="F102" s="262">
        <v>0</v>
      </c>
      <c r="G102" s="162">
        <v>37</v>
      </c>
      <c r="H102" s="162">
        <v>37</v>
      </c>
      <c r="I102" s="162"/>
      <c r="J102" s="164"/>
      <c r="K102" s="162"/>
      <c r="L102" s="164"/>
      <c r="M102" s="164"/>
      <c r="N102" s="162"/>
      <c r="O102" s="162"/>
      <c r="P102" s="162"/>
      <c r="Q102" s="155">
        <f>AS102</f>
        <v>0</v>
      </c>
      <c r="R102" s="155">
        <f>AT102</f>
        <v>0</v>
      </c>
      <c r="S102" s="156">
        <f>AU102</f>
        <v>0</v>
      </c>
      <c r="U102" s="129">
        <f>IF(OR(C101=5,C102=5),0,1)</f>
        <v>1</v>
      </c>
      <c r="V102" s="129">
        <f t="shared" si="25"/>
        <v>0</v>
      </c>
      <c r="W102" s="129">
        <f t="shared" si="26"/>
        <v>0</v>
      </c>
      <c r="X102" s="129">
        <f t="shared" si="18"/>
        <v>0</v>
      </c>
      <c r="Y102" s="129">
        <f t="shared" si="27"/>
        <v>65.337800000000001</v>
      </c>
      <c r="Z102" s="153">
        <f t="shared" si="19"/>
        <v>0</v>
      </c>
      <c r="AA102" s="248">
        <f t="shared" si="20"/>
        <v>0</v>
      </c>
      <c r="AB102" s="153">
        <f t="shared" si="28"/>
        <v>0</v>
      </c>
      <c r="AC102" s="248">
        <f t="shared" si="21"/>
        <v>0</v>
      </c>
      <c r="AD102" s="153">
        <f t="shared" si="22"/>
        <v>0</v>
      </c>
      <c r="AE102" s="248">
        <f t="shared" si="23"/>
        <v>0</v>
      </c>
      <c r="AF102" s="153">
        <f t="shared" si="29"/>
        <v>0</v>
      </c>
      <c r="AG102" s="248">
        <f t="shared" si="24"/>
        <v>0</v>
      </c>
      <c r="AH102" s="153">
        <f t="shared" si="30"/>
        <v>0</v>
      </c>
      <c r="AI102" s="153"/>
      <c r="AJ102" s="153">
        <f t="shared" si="31"/>
        <v>0</v>
      </c>
      <c r="AK102" s="153">
        <f t="shared" si="32"/>
        <v>0</v>
      </c>
      <c r="AL102" s="153"/>
      <c r="AM102" s="153">
        <f>AK101*W101+AK102*W102</f>
        <v>0</v>
      </c>
      <c r="AN102" s="153">
        <f>(SUM(AD101:AG101)*W101+SUM(AD102:AG102)*W102)*12*VLOOKUP(C102,JNovergang,3,1)</f>
        <v>0</v>
      </c>
      <c r="AO102" s="153">
        <f>AM102-AN102</f>
        <v>0</v>
      </c>
      <c r="AP102" s="153">
        <f>M102*(100+X102)%</f>
        <v>0</v>
      </c>
      <c r="AQ102" s="248">
        <f>ROUND(M102*F102,2)</f>
        <v>0</v>
      </c>
      <c r="AS102" s="248">
        <f>ROUND((AP102+AQ102)+AM102*(N102/12),0)</f>
        <v>0</v>
      </c>
      <c r="AT102" s="248">
        <f>ROUND(AM102*(O102/12),0)</f>
        <v>0</v>
      </c>
      <c r="AU102" s="248">
        <f>ROUND(AM102*(P102/12)*U102,0)</f>
        <v>0</v>
      </c>
      <c r="AW102" s="129">
        <f t="shared" si="33"/>
        <v>0</v>
      </c>
    </row>
    <row r="103" spans="1:49" x14ac:dyDescent="0.15">
      <c r="A103" s="157"/>
      <c r="B103" s="158"/>
      <c r="C103" s="158"/>
      <c r="D103" s="149" t="str">
        <f t="shared" si="0"/>
        <v xml:space="preserve"> </v>
      </c>
      <c r="E103" s="161"/>
      <c r="F103" s="261">
        <v>0</v>
      </c>
      <c r="G103" s="161">
        <v>37</v>
      </c>
      <c r="H103" s="161">
        <v>37</v>
      </c>
      <c r="I103" s="161"/>
      <c r="J103" s="163"/>
      <c r="K103" s="161"/>
      <c r="L103" s="163"/>
      <c r="M103" s="150"/>
      <c r="N103" s="150"/>
      <c r="O103" s="150"/>
      <c r="P103" s="150"/>
      <c r="Q103" s="151"/>
      <c r="R103" s="151"/>
      <c r="S103" s="152"/>
      <c r="V103" s="129">
        <f t="shared" si="25"/>
        <v>0</v>
      </c>
      <c r="W103" s="129">
        <f t="shared" si="26"/>
        <v>0</v>
      </c>
      <c r="X103" s="129">
        <f t="shared" si="18"/>
        <v>0</v>
      </c>
      <c r="Y103" s="129">
        <f t="shared" si="27"/>
        <v>65.337800000000001</v>
      </c>
      <c r="Z103" s="153">
        <f t="shared" si="19"/>
        <v>0</v>
      </c>
      <c r="AA103" s="248">
        <f t="shared" si="20"/>
        <v>0</v>
      </c>
      <c r="AB103" s="153">
        <f t="shared" si="28"/>
        <v>0</v>
      </c>
      <c r="AC103" s="248">
        <f t="shared" si="21"/>
        <v>0</v>
      </c>
      <c r="AD103" s="153">
        <f t="shared" si="22"/>
        <v>0</v>
      </c>
      <c r="AE103" s="248">
        <f t="shared" si="23"/>
        <v>0</v>
      </c>
      <c r="AF103" s="153">
        <f t="shared" si="29"/>
        <v>0</v>
      </c>
      <c r="AG103" s="248">
        <f t="shared" si="24"/>
        <v>0</v>
      </c>
      <c r="AH103" s="153">
        <f t="shared" si="30"/>
        <v>0</v>
      </c>
      <c r="AI103" s="153"/>
      <c r="AJ103" s="153">
        <f t="shared" si="31"/>
        <v>0</v>
      </c>
      <c r="AK103" s="153">
        <f t="shared" si="32"/>
        <v>0</v>
      </c>
      <c r="AL103" s="153"/>
      <c r="AM103" s="153"/>
      <c r="AN103" s="153"/>
      <c r="AQ103" s="153"/>
      <c r="AW103" s="129">
        <f t="shared" si="33"/>
        <v>0</v>
      </c>
    </row>
    <row r="104" spans="1:49" ht="9.75" thickBot="1" x14ac:dyDescent="0.2">
      <c r="A104" s="159"/>
      <c r="B104" s="160"/>
      <c r="C104" s="160"/>
      <c r="D104" s="154" t="str">
        <f>VLOOKUP(C104,Tabelændringskode,2,1)</f>
        <v xml:space="preserve"> </v>
      </c>
      <c r="E104" s="162"/>
      <c r="F104" s="262">
        <v>0</v>
      </c>
      <c r="G104" s="162">
        <v>37</v>
      </c>
      <c r="H104" s="162">
        <v>37</v>
      </c>
      <c r="I104" s="162"/>
      <c r="J104" s="164"/>
      <c r="K104" s="162"/>
      <c r="L104" s="164"/>
      <c r="M104" s="164"/>
      <c r="N104" s="162"/>
      <c r="O104" s="162"/>
      <c r="P104" s="162"/>
      <c r="Q104" s="155">
        <f>AS104</f>
        <v>0</v>
      </c>
      <c r="R104" s="155">
        <f>AT104</f>
        <v>0</v>
      </c>
      <c r="S104" s="156">
        <f>AU104</f>
        <v>0</v>
      </c>
      <c r="U104" s="129">
        <f>IF(OR(C103=5,C104=5),0,1)</f>
        <v>1</v>
      </c>
      <c r="V104" s="129">
        <f t="shared" si="25"/>
        <v>0</v>
      </c>
      <c r="W104" s="129">
        <f t="shared" si="26"/>
        <v>0</v>
      </c>
      <c r="X104" s="129">
        <f t="shared" si="18"/>
        <v>0</v>
      </c>
      <c r="Y104" s="129">
        <f t="shared" si="27"/>
        <v>65.337800000000001</v>
      </c>
      <c r="Z104" s="153">
        <f t="shared" si="19"/>
        <v>0</v>
      </c>
      <c r="AA104" s="248">
        <f t="shared" si="20"/>
        <v>0</v>
      </c>
      <c r="AB104" s="153">
        <f t="shared" si="28"/>
        <v>0</v>
      </c>
      <c r="AC104" s="248">
        <f t="shared" si="21"/>
        <v>0</v>
      </c>
      <c r="AD104" s="153">
        <f t="shared" si="22"/>
        <v>0</v>
      </c>
      <c r="AE104" s="248">
        <f t="shared" si="23"/>
        <v>0</v>
      </c>
      <c r="AF104" s="153">
        <f t="shared" si="29"/>
        <v>0</v>
      </c>
      <c r="AG104" s="248">
        <f t="shared" si="24"/>
        <v>0</v>
      </c>
      <c r="AH104" s="153">
        <f t="shared" si="30"/>
        <v>0</v>
      </c>
      <c r="AI104" s="153"/>
      <c r="AJ104" s="153">
        <f t="shared" si="31"/>
        <v>0</v>
      </c>
      <c r="AK104" s="153">
        <f t="shared" si="32"/>
        <v>0</v>
      </c>
      <c r="AL104" s="153"/>
      <c r="AM104" s="153">
        <f>AK103*W103+AK104*W104</f>
        <v>0</v>
      </c>
      <c r="AN104" s="153">
        <f>(SUM(AD103:AG103)*W103+SUM(AD104:AG104)*W104)*12*VLOOKUP(C104,JNovergang,3,1)</f>
        <v>0</v>
      </c>
      <c r="AO104" s="153">
        <f>AM104-AN104</f>
        <v>0</v>
      </c>
      <c r="AP104" s="153">
        <f>M104*(100+X104)%</f>
        <v>0</v>
      </c>
      <c r="AQ104" s="248">
        <f>ROUND(M104*F104,2)</f>
        <v>0</v>
      </c>
      <c r="AS104" s="248">
        <f>ROUND((AP104+AQ104)+AM104*(N104/12),0)</f>
        <v>0</v>
      </c>
      <c r="AT104" s="248">
        <f>ROUND(AM104*(O104/12),0)</f>
        <v>0</v>
      </c>
      <c r="AU104" s="248">
        <f>ROUND(AM104*(P104/12)*U104,0)</f>
        <v>0</v>
      </c>
      <c r="AW104" s="129">
        <f t="shared" si="33"/>
        <v>0</v>
      </c>
    </row>
    <row r="105" spans="1:49" x14ac:dyDescent="0.15">
      <c r="A105" s="157"/>
      <c r="B105" s="158"/>
      <c r="C105" s="158"/>
      <c r="D105" s="149" t="str">
        <f t="shared" si="0"/>
        <v xml:space="preserve"> </v>
      </c>
      <c r="E105" s="161"/>
      <c r="F105" s="261">
        <v>0</v>
      </c>
      <c r="G105" s="161">
        <v>37</v>
      </c>
      <c r="H105" s="161">
        <v>37</v>
      </c>
      <c r="I105" s="161"/>
      <c r="J105" s="163"/>
      <c r="K105" s="161"/>
      <c r="L105" s="163"/>
      <c r="M105" s="150"/>
      <c r="N105" s="150"/>
      <c r="O105" s="150"/>
      <c r="P105" s="150"/>
      <c r="Q105" s="151"/>
      <c r="R105" s="151"/>
      <c r="S105" s="152"/>
      <c r="V105" s="129">
        <f t="shared" si="25"/>
        <v>0</v>
      </c>
      <c r="W105" s="129">
        <f t="shared" si="26"/>
        <v>0</v>
      </c>
      <c r="X105" s="129">
        <f t="shared" si="18"/>
        <v>0</v>
      </c>
      <c r="Y105" s="129">
        <f t="shared" si="27"/>
        <v>65.337800000000001</v>
      </c>
      <c r="Z105" s="153">
        <f t="shared" si="19"/>
        <v>0</v>
      </c>
      <c r="AA105" s="248">
        <f t="shared" si="20"/>
        <v>0</v>
      </c>
      <c r="AB105" s="153">
        <f t="shared" si="28"/>
        <v>0</v>
      </c>
      <c r="AC105" s="248">
        <f t="shared" si="21"/>
        <v>0</v>
      </c>
      <c r="AD105" s="153">
        <f t="shared" si="22"/>
        <v>0</v>
      </c>
      <c r="AE105" s="248">
        <f t="shared" si="23"/>
        <v>0</v>
      </c>
      <c r="AF105" s="153">
        <f t="shared" si="29"/>
        <v>0</v>
      </c>
      <c r="AG105" s="248">
        <f t="shared" si="24"/>
        <v>0</v>
      </c>
      <c r="AH105" s="153">
        <f t="shared" si="30"/>
        <v>0</v>
      </c>
      <c r="AI105" s="153"/>
      <c r="AJ105" s="153">
        <f t="shared" si="31"/>
        <v>0</v>
      </c>
      <c r="AK105" s="153">
        <f t="shared" si="32"/>
        <v>0</v>
      </c>
      <c r="AL105" s="153"/>
      <c r="AM105" s="153"/>
      <c r="AN105" s="153"/>
      <c r="AQ105" s="153"/>
      <c r="AW105" s="129">
        <f t="shared" si="33"/>
        <v>0</v>
      </c>
    </row>
    <row r="106" spans="1:49" ht="9.75" thickBot="1" x14ac:dyDescent="0.2">
      <c r="A106" s="159"/>
      <c r="B106" s="160"/>
      <c r="C106" s="160"/>
      <c r="D106" s="154" t="str">
        <f>VLOOKUP(C106,Tabelændringskode,2,1)</f>
        <v xml:space="preserve"> </v>
      </c>
      <c r="E106" s="162"/>
      <c r="F106" s="262">
        <v>0</v>
      </c>
      <c r="G106" s="162">
        <v>37</v>
      </c>
      <c r="H106" s="162">
        <v>37</v>
      </c>
      <c r="I106" s="162"/>
      <c r="J106" s="164"/>
      <c r="K106" s="162"/>
      <c r="L106" s="164"/>
      <c r="M106" s="164"/>
      <c r="N106" s="162"/>
      <c r="O106" s="162"/>
      <c r="P106" s="162"/>
      <c r="Q106" s="155">
        <f>AS106</f>
        <v>0</v>
      </c>
      <c r="R106" s="155">
        <f>AT106</f>
        <v>0</v>
      </c>
      <c r="S106" s="156">
        <f>AU106</f>
        <v>0</v>
      </c>
      <c r="U106" s="129">
        <f>IF(OR(C105=5,C106=5),0,1)</f>
        <v>1</v>
      </c>
      <c r="V106" s="129">
        <f t="shared" si="25"/>
        <v>0</v>
      </c>
      <c r="W106" s="129">
        <f t="shared" si="26"/>
        <v>0</v>
      </c>
      <c r="X106" s="129">
        <f t="shared" si="18"/>
        <v>0</v>
      </c>
      <c r="Y106" s="129">
        <f t="shared" si="27"/>
        <v>65.337800000000001</v>
      </c>
      <c r="Z106" s="153">
        <f t="shared" si="19"/>
        <v>0</v>
      </c>
      <c r="AA106" s="248">
        <f t="shared" si="20"/>
        <v>0</v>
      </c>
      <c r="AB106" s="153">
        <f t="shared" si="28"/>
        <v>0</v>
      </c>
      <c r="AC106" s="248">
        <f t="shared" si="21"/>
        <v>0</v>
      </c>
      <c r="AD106" s="153">
        <f t="shared" si="22"/>
        <v>0</v>
      </c>
      <c r="AE106" s="248">
        <f t="shared" si="23"/>
        <v>0</v>
      </c>
      <c r="AF106" s="153">
        <f t="shared" si="29"/>
        <v>0</v>
      </c>
      <c r="AG106" s="248">
        <f t="shared" si="24"/>
        <v>0</v>
      </c>
      <c r="AH106" s="153">
        <f t="shared" si="30"/>
        <v>0</v>
      </c>
      <c r="AI106" s="153"/>
      <c r="AJ106" s="153">
        <f t="shared" si="31"/>
        <v>0</v>
      </c>
      <c r="AK106" s="153">
        <f t="shared" si="32"/>
        <v>0</v>
      </c>
      <c r="AL106" s="153"/>
      <c r="AM106" s="153">
        <f>AK105*W105+AK106*W106</f>
        <v>0</v>
      </c>
      <c r="AN106" s="153">
        <f>(SUM(AD105:AG105)*W105+SUM(AD106:AG106)*W106)*12*VLOOKUP(C106,JNovergang,3,1)</f>
        <v>0</v>
      </c>
      <c r="AO106" s="153">
        <f>AM106-AN106</f>
        <v>0</v>
      </c>
      <c r="AP106" s="153">
        <f>M106*(100+X106)%</f>
        <v>0</v>
      </c>
      <c r="AQ106" s="248">
        <f>ROUND(M106*F106,2)</f>
        <v>0</v>
      </c>
      <c r="AS106" s="248">
        <f>ROUND((AP106+AQ106)+AM106*(N106/12),0)</f>
        <v>0</v>
      </c>
      <c r="AT106" s="248">
        <f>ROUND(AM106*(O106/12),0)</f>
        <v>0</v>
      </c>
      <c r="AU106" s="248">
        <f>ROUND(AM106*(P106/12)*U106,0)</f>
        <v>0</v>
      </c>
      <c r="AW106" s="129">
        <f t="shared" si="33"/>
        <v>0</v>
      </c>
    </row>
    <row r="107" spans="1:49" x14ac:dyDescent="0.15">
      <c r="A107" s="157"/>
      <c r="B107" s="158"/>
      <c r="C107" s="158"/>
      <c r="D107" s="149" t="str">
        <f t="shared" si="0"/>
        <v xml:space="preserve"> </v>
      </c>
      <c r="E107" s="161"/>
      <c r="F107" s="261">
        <v>0</v>
      </c>
      <c r="G107" s="161">
        <v>37</v>
      </c>
      <c r="H107" s="161">
        <v>37</v>
      </c>
      <c r="I107" s="161"/>
      <c r="J107" s="163"/>
      <c r="K107" s="161"/>
      <c r="L107" s="163"/>
      <c r="M107" s="150"/>
      <c r="N107" s="150"/>
      <c r="O107" s="150"/>
      <c r="P107" s="150"/>
      <c r="Q107" s="151"/>
      <c r="R107" s="151"/>
      <c r="S107" s="152"/>
      <c r="V107" s="129">
        <f t="shared" si="25"/>
        <v>0</v>
      </c>
      <c r="W107" s="129">
        <f t="shared" si="26"/>
        <v>0</v>
      </c>
      <c r="X107" s="129">
        <f t="shared" si="18"/>
        <v>0</v>
      </c>
      <c r="Y107" s="129">
        <f t="shared" si="27"/>
        <v>65.337800000000001</v>
      </c>
      <c r="Z107" s="153">
        <f t="shared" si="19"/>
        <v>0</v>
      </c>
      <c r="AA107" s="248">
        <f t="shared" si="20"/>
        <v>0</v>
      </c>
      <c r="AB107" s="153">
        <f t="shared" si="28"/>
        <v>0</v>
      </c>
      <c r="AC107" s="248">
        <f t="shared" si="21"/>
        <v>0</v>
      </c>
      <c r="AD107" s="153">
        <f t="shared" si="22"/>
        <v>0</v>
      </c>
      <c r="AE107" s="248">
        <f t="shared" si="23"/>
        <v>0</v>
      </c>
      <c r="AF107" s="153">
        <f t="shared" si="29"/>
        <v>0</v>
      </c>
      <c r="AG107" s="248">
        <f t="shared" si="24"/>
        <v>0</v>
      </c>
      <c r="AH107" s="153">
        <f t="shared" si="30"/>
        <v>0</v>
      </c>
      <c r="AI107" s="153"/>
      <c r="AJ107" s="153">
        <f t="shared" si="31"/>
        <v>0</v>
      </c>
      <c r="AK107" s="153">
        <f t="shared" si="32"/>
        <v>0</v>
      </c>
      <c r="AL107" s="153"/>
      <c r="AM107" s="153"/>
      <c r="AN107" s="153"/>
      <c r="AQ107" s="153"/>
      <c r="AW107" s="129">
        <f t="shared" si="33"/>
        <v>0</v>
      </c>
    </row>
    <row r="108" spans="1:49" ht="9.75" thickBot="1" x14ac:dyDescent="0.2">
      <c r="A108" s="159"/>
      <c r="B108" s="160"/>
      <c r="C108" s="160"/>
      <c r="D108" s="154" t="str">
        <f>VLOOKUP(C108,Tabelændringskode,2,1)</f>
        <v xml:space="preserve"> </v>
      </c>
      <c r="E108" s="162"/>
      <c r="F108" s="262">
        <v>0</v>
      </c>
      <c r="G108" s="162">
        <v>37</v>
      </c>
      <c r="H108" s="162">
        <v>37</v>
      </c>
      <c r="I108" s="162"/>
      <c r="J108" s="164"/>
      <c r="K108" s="162"/>
      <c r="L108" s="164"/>
      <c r="M108" s="164"/>
      <c r="N108" s="162"/>
      <c r="O108" s="162"/>
      <c r="P108" s="162"/>
      <c r="Q108" s="155">
        <f>AS108</f>
        <v>0</v>
      </c>
      <c r="R108" s="155">
        <f>AT108</f>
        <v>0</v>
      </c>
      <c r="S108" s="156">
        <f>AU108</f>
        <v>0</v>
      </c>
      <c r="U108" s="129">
        <f>IF(OR(C107=5,C108=5),0,1)</f>
        <v>1</v>
      </c>
      <c r="V108" s="129">
        <f t="shared" si="25"/>
        <v>0</v>
      </c>
      <c r="W108" s="129">
        <f t="shared" si="26"/>
        <v>0</v>
      </c>
      <c r="X108" s="129">
        <f t="shared" si="18"/>
        <v>0</v>
      </c>
      <c r="Y108" s="129">
        <f t="shared" si="27"/>
        <v>65.337800000000001</v>
      </c>
      <c r="Z108" s="153">
        <f t="shared" si="19"/>
        <v>0</v>
      </c>
      <c r="AA108" s="248">
        <f t="shared" si="20"/>
        <v>0</v>
      </c>
      <c r="AB108" s="153">
        <f t="shared" si="28"/>
        <v>0</v>
      </c>
      <c r="AC108" s="248">
        <f t="shared" si="21"/>
        <v>0</v>
      </c>
      <c r="AD108" s="153">
        <f t="shared" si="22"/>
        <v>0</v>
      </c>
      <c r="AE108" s="248">
        <f t="shared" si="23"/>
        <v>0</v>
      </c>
      <c r="AF108" s="153">
        <f t="shared" si="29"/>
        <v>0</v>
      </c>
      <c r="AG108" s="248">
        <f t="shared" si="24"/>
        <v>0</v>
      </c>
      <c r="AH108" s="153">
        <f t="shared" si="30"/>
        <v>0</v>
      </c>
      <c r="AI108" s="153"/>
      <c r="AJ108" s="153">
        <f t="shared" si="31"/>
        <v>0</v>
      </c>
      <c r="AK108" s="153">
        <f t="shared" si="32"/>
        <v>0</v>
      </c>
      <c r="AL108" s="153"/>
      <c r="AM108" s="153">
        <f>AK107*W107+AK108*W108</f>
        <v>0</v>
      </c>
      <c r="AN108" s="153">
        <f>(SUM(AD107:AG107)*W107+SUM(AD108:AG108)*W108)*12*VLOOKUP(C108,JNovergang,3,1)</f>
        <v>0</v>
      </c>
      <c r="AO108" s="153">
        <f>AM108-AN108</f>
        <v>0</v>
      </c>
      <c r="AP108" s="153">
        <f>M108*(100+X108)%</f>
        <v>0</v>
      </c>
      <c r="AQ108" s="248">
        <f>ROUND(M108*F108,2)</f>
        <v>0</v>
      </c>
      <c r="AS108" s="248">
        <f>ROUND((AP108+AQ108)+AM108*(N108/12),0)</f>
        <v>0</v>
      </c>
      <c r="AT108" s="248">
        <f>ROUND(AM108*(O108/12),0)</f>
        <v>0</v>
      </c>
      <c r="AU108" s="248">
        <f>ROUND(AM108*(P108/12)*U108,0)</f>
        <v>0</v>
      </c>
      <c r="AW108" s="129">
        <f t="shared" si="33"/>
        <v>0</v>
      </c>
    </row>
    <row r="109" spans="1:49" x14ac:dyDescent="0.15">
      <c r="A109" s="157"/>
      <c r="B109" s="158"/>
      <c r="C109" s="158"/>
      <c r="D109" s="149" t="str">
        <f t="shared" si="0"/>
        <v xml:space="preserve"> </v>
      </c>
      <c r="E109" s="161"/>
      <c r="F109" s="261">
        <v>0</v>
      </c>
      <c r="G109" s="161">
        <v>37</v>
      </c>
      <c r="H109" s="161">
        <v>37</v>
      </c>
      <c r="I109" s="161"/>
      <c r="J109" s="163"/>
      <c r="K109" s="161"/>
      <c r="L109" s="163"/>
      <c r="M109" s="150"/>
      <c r="N109" s="150"/>
      <c r="O109" s="150"/>
      <c r="P109" s="150"/>
      <c r="Q109" s="151"/>
      <c r="R109" s="151"/>
      <c r="S109" s="152"/>
      <c r="V109" s="129">
        <f t="shared" si="25"/>
        <v>0</v>
      </c>
      <c r="W109" s="129">
        <f t="shared" si="26"/>
        <v>0</v>
      </c>
      <c r="X109" s="129">
        <f t="shared" si="18"/>
        <v>0</v>
      </c>
      <c r="Y109" s="129">
        <f t="shared" si="27"/>
        <v>65.337800000000001</v>
      </c>
      <c r="Z109" s="153">
        <f t="shared" si="19"/>
        <v>0</v>
      </c>
      <c r="AA109" s="248">
        <f t="shared" si="20"/>
        <v>0</v>
      </c>
      <c r="AB109" s="153">
        <f t="shared" si="28"/>
        <v>0</v>
      </c>
      <c r="AC109" s="248">
        <f t="shared" si="21"/>
        <v>0</v>
      </c>
      <c r="AD109" s="153">
        <f t="shared" si="22"/>
        <v>0</v>
      </c>
      <c r="AE109" s="248">
        <f t="shared" si="23"/>
        <v>0</v>
      </c>
      <c r="AF109" s="153">
        <f t="shared" si="29"/>
        <v>0</v>
      </c>
      <c r="AG109" s="248">
        <f t="shared" si="24"/>
        <v>0</v>
      </c>
      <c r="AH109" s="153">
        <f t="shared" si="30"/>
        <v>0</v>
      </c>
      <c r="AI109" s="153"/>
      <c r="AJ109" s="153">
        <f t="shared" si="31"/>
        <v>0</v>
      </c>
      <c r="AK109" s="153">
        <f t="shared" si="32"/>
        <v>0</v>
      </c>
      <c r="AL109" s="153"/>
      <c r="AM109" s="153"/>
      <c r="AN109" s="153"/>
      <c r="AQ109" s="153"/>
      <c r="AW109" s="129">
        <f t="shared" si="33"/>
        <v>0</v>
      </c>
    </row>
    <row r="110" spans="1:49" ht="9.75" thickBot="1" x14ac:dyDescent="0.2">
      <c r="A110" s="159"/>
      <c r="B110" s="160"/>
      <c r="C110" s="160"/>
      <c r="D110" s="154" t="str">
        <f>VLOOKUP(C110,Tabelændringskode,2,1)</f>
        <v xml:space="preserve"> </v>
      </c>
      <c r="E110" s="162"/>
      <c r="F110" s="262">
        <v>0</v>
      </c>
      <c r="G110" s="162">
        <v>37</v>
      </c>
      <c r="H110" s="162">
        <v>37</v>
      </c>
      <c r="I110" s="162"/>
      <c r="J110" s="164"/>
      <c r="K110" s="162"/>
      <c r="L110" s="164"/>
      <c r="M110" s="164"/>
      <c r="N110" s="162"/>
      <c r="O110" s="162"/>
      <c r="P110" s="162"/>
      <c r="Q110" s="155">
        <f>AS110</f>
        <v>0</v>
      </c>
      <c r="R110" s="155">
        <f>AT110</f>
        <v>0</v>
      </c>
      <c r="S110" s="156">
        <f>AU110</f>
        <v>0</v>
      </c>
      <c r="U110" s="129">
        <f>IF(OR(C109=5,C110=5),0,1)</f>
        <v>1</v>
      </c>
      <c r="V110" s="129">
        <f t="shared" si="25"/>
        <v>0</v>
      </c>
      <c r="W110" s="129">
        <f t="shared" si="26"/>
        <v>0</v>
      </c>
      <c r="X110" s="129">
        <f t="shared" si="18"/>
        <v>0</v>
      </c>
      <c r="Y110" s="129">
        <f t="shared" si="27"/>
        <v>65.337800000000001</v>
      </c>
      <c r="Z110" s="153">
        <f t="shared" si="19"/>
        <v>0</v>
      </c>
      <c r="AA110" s="248">
        <f t="shared" si="20"/>
        <v>0</v>
      </c>
      <c r="AB110" s="153">
        <f t="shared" si="28"/>
        <v>0</v>
      </c>
      <c r="AC110" s="248">
        <f t="shared" si="21"/>
        <v>0</v>
      </c>
      <c r="AD110" s="153">
        <f t="shared" si="22"/>
        <v>0</v>
      </c>
      <c r="AE110" s="248">
        <f t="shared" si="23"/>
        <v>0</v>
      </c>
      <c r="AF110" s="153">
        <f t="shared" si="29"/>
        <v>0</v>
      </c>
      <c r="AG110" s="248">
        <f t="shared" si="24"/>
        <v>0</v>
      </c>
      <c r="AH110" s="153">
        <f t="shared" si="30"/>
        <v>0</v>
      </c>
      <c r="AI110" s="153"/>
      <c r="AJ110" s="153">
        <f t="shared" si="31"/>
        <v>0</v>
      </c>
      <c r="AK110" s="153">
        <f t="shared" si="32"/>
        <v>0</v>
      </c>
      <c r="AL110" s="153"/>
      <c r="AM110" s="153">
        <f>AK109*W109+AK110*W110</f>
        <v>0</v>
      </c>
      <c r="AN110" s="153">
        <f>(SUM(AD109:AG109)*W109+SUM(AD110:AG110)*W110)*12*VLOOKUP(C110,JNovergang,3,1)</f>
        <v>0</v>
      </c>
      <c r="AO110" s="153">
        <f>AM110-AN110</f>
        <v>0</v>
      </c>
      <c r="AP110" s="153">
        <f>M110*(100+X110)%</f>
        <v>0</v>
      </c>
      <c r="AQ110" s="248">
        <f>ROUND(M110*F110,2)</f>
        <v>0</v>
      </c>
      <c r="AS110" s="248">
        <f>ROUND((AP110+AQ110)+AM110*(N110/12),0)</f>
        <v>0</v>
      </c>
      <c r="AT110" s="248">
        <f>ROUND(AM110*(O110/12),0)</f>
        <v>0</v>
      </c>
      <c r="AU110" s="248">
        <f>ROUND(AM110*(P110/12)*U110,0)</f>
        <v>0</v>
      </c>
      <c r="AW110" s="129">
        <f t="shared" si="33"/>
        <v>0</v>
      </c>
    </row>
    <row r="111" spans="1:49" x14ac:dyDescent="0.15">
      <c r="A111" s="157"/>
      <c r="B111" s="158"/>
      <c r="C111" s="158"/>
      <c r="D111" s="149" t="str">
        <f t="shared" si="0"/>
        <v xml:space="preserve"> </v>
      </c>
      <c r="E111" s="161"/>
      <c r="F111" s="261">
        <v>0</v>
      </c>
      <c r="G111" s="161">
        <v>37</v>
      </c>
      <c r="H111" s="161">
        <v>37</v>
      </c>
      <c r="I111" s="161"/>
      <c r="J111" s="163"/>
      <c r="K111" s="161"/>
      <c r="L111" s="163"/>
      <c r="M111" s="150"/>
      <c r="N111" s="150"/>
      <c r="O111" s="150"/>
      <c r="P111" s="150"/>
      <c r="Q111" s="151"/>
      <c r="R111" s="151"/>
      <c r="S111" s="152"/>
      <c r="V111" s="129">
        <f t="shared" si="25"/>
        <v>0</v>
      </c>
      <c r="W111" s="129">
        <f t="shared" si="26"/>
        <v>0</v>
      </c>
      <c r="X111" s="129">
        <f t="shared" si="18"/>
        <v>0</v>
      </c>
      <c r="Y111" s="129">
        <f t="shared" si="27"/>
        <v>65.337800000000001</v>
      </c>
      <c r="Z111" s="153">
        <f t="shared" si="19"/>
        <v>0</v>
      </c>
      <c r="AA111" s="248">
        <f t="shared" si="20"/>
        <v>0</v>
      </c>
      <c r="AB111" s="153">
        <f t="shared" si="28"/>
        <v>0</v>
      </c>
      <c r="AC111" s="248">
        <f t="shared" si="21"/>
        <v>0</v>
      </c>
      <c r="AD111" s="153">
        <f t="shared" si="22"/>
        <v>0</v>
      </c>
      <c r="AE111" s="248">
        <f t="shared" si="23"/>
        <v>0</v>
      </c>
      <c r="AF111" s="153">
        <f t="shared" si="29"/>
        <v>0</v>
      </c>
      <c r="AG111" s="248">
        <f t="shared" si="24"/>
        <v>0</v>
      </c>
      <c r="AH111" s="153">
        <f t="shared" si="30"/>
        <v>0</v>
      </c>
      <c r="AI111" s="153"/>
      <c r="AJ111" s="153">
        <f t="shared" si="31"/>
        <v>0</v>
      </c>
      <c r="AK111" s="153">
        <f t="shared" si="32"/>
        <v>0</v>
      </c>
      <c r="AL111" s="153"/>
      <c r="AM111" s="153"/>
      <c r="AN111" s="153"/>
      <c r="AQ111" s="153"/>
      <c r="AW111" s="129">
        <f t="shared" si="33"/>
        <v>0</v>
      </c>
    </row>
    <row r="112" spans="1:49" ht="9.75" thickBot="1" x14ac:dyDescent="0.2">
      <c r="A112" s="159"/>
      <c r="B112" s="160"/>
      <c r="C112" s="160"/>
      <c r="D112" s="154" t="str">
        <f t="shared" ref="D112:D175" si="34">VLOOKUP(C112,Tabelændringskode,2,1)</f>
        <v xml:space="preserve"> </v>
      </c>
      <c r="E112" s="162"/>
      <c r="F112" s="262">
        <v>0</v>
      </c>
      <c r="G112" s="162">
        <v>37</v>
      </c>
      <c r="H112" s="162">
        <v>37</v>
      </c>
      <c r="I112" s="162"/>
      <c r="J112" s="164"/>
      <c r="K112" s="162"/>
      <c r="L112" s="164"/>
      <c r="M112" s="164"/>
      <c r="N112" s="162"/>
      <c r="O112" s="162"/>
      <c r="P112" s="162"/>
      <c r="Q112" s="155">
        <f>AS112</f>
        <v>0</v>
      </c>
      <c r="R112" s="155">
        <f>AT112</f>
        <v>0</v>
      </c>
      <c r="S112" s="156">
        <f>AU112</f>
        <v>0</v>
      </c>
      <c r="U112" s="129">
        <f>IF(OR(C111=5,C112=5),0,1)</f>
        <v>1</v>
      </c>
      <c r="V112" s="129">
        <f t="shared" si="25"/>
        <v>0</v>
      </c>
      <c r="W112" s="129">
        <f t="shared" si="26"/>
        <v>0</v>
      </c>
      <c r="X112" s="129">
        <f t="shared" si="18"/>
        <v>0</v>
      </c>
      <c r="Y112" s="129">
        <f t="shared" si="27"/>
        <v>65.337800000000001</v>
      </c>
      <c r="Z112" s="153">
        <f t="shared" si="19"/>
        <v>0</v>
      </c>
      <c r="AA112" s="248">
        <f t="shared" si="20"/>
        <v>0</v>
      </c>
      <c r="AB112" s="153">
        <f t="shared" si="28"/>
        <v>0</v>
      </c>
      <c r="AC112" s="248">
        <f t="shared" si="21"/>
        <v>0</v>
      </c>
      <c r="AD112" s="153">
        <f t="shared" si="22"/>
        <v>0</v>
      </c>
      <c r="AE112" s="248">
        <f t="shared" si="23"/>
        <v>0</v>
      </c>
      <c r="AF112" s="153">
        <f t="shared" si="29"/>
        <v>0</v>
      </c>
      <c r="AG112" s="248">
        <f t="shared" si="24"/>
        <v>0</v>
      </c>
      <c r="AH112" s="153">
        <f t="shared" si="30"/>
        <v>0</v>
      </c>
      <c r="AI112" s="153"/>
      <c r="AJ112" s="153">
        <f t="shared" si="31"/>
        <v>0</v>
      </c>
      <c r="AK112" s="153">
        <f t="shared" si="32"/>
        <v>0</v>
      </c>
      <c r="AL112" s="153"/>
      <c r="AM112" s="153">
        <f>AK111*W111+AK112*W112</f>
        <v>0</v>
      </c>
      <c r="AN112" s="153">
        <f>(SUM(AD111:AG111)*W111+SUM(AD112:AG112)*W112)*12*VLOOKUP(C112,JNovergang,3,1)</f>
        <v>0</v>
      </c>
      <c r="AO112" s="153">
        <f>AM112-AN112</f>
        <v>0</v>
      </c>
      <c r="AP112" s="153">
        <f>M112*(100+X112)%</f>
        <v>0</v>
      </c>
      <c r="AQ112" s="248">
        <f>ROUND(M112*F112,2)</f>
        <v>0</v>
      </c>
      <c r="AS112" s="248">
        <f>ROUND((AP112+AQ112)+AM112*(N112/12),0)</f>
        <v>0</v>
      </c>
      <c r="AT112" s="248">
        <f>ROUND(AM112*(O112/12),0)</f>
        <v>0</v>
      </c>
      <c r="AU112" s="248">
        <f>ROUND(AM112*(P112/12)*U112,0)</f>
        <v>0</v>
      </c>
      <c r="AW112" s="129">
        <f t="shared" si="33"/>
        <v>0</v>
      </c>
    </row>
    <row r="113" spans="1:49" x14ac:dyDescent="0.15">
      <c r="A113" s="157"/>
      <c r="B113" s="158"/>
      <c r="C113" s="158"/>
      <c r="D113" s="149" t="str">
        <f t="shared" si="34"/>
        <v xml:space="preserve"> </v>
      </c>
      <c r="E113" s="161"/>
      <c r="F113" s="261">
        <v>0</v>
      </c>
      <c r="G113" s="161">
        <v>37</v>
      </c>
      <c r="H113" s="161">
        <v>37</v>
      </c>
      <c r="I113" s="161"/>
      <c r="J113" s="163"/>
      <c r="K113" s="161"/>
      <c r="L113" s="163"/>
      <c r="M113" s="150"/>
      <c r="N113" s="150"/>
      <c r="O113" s="150"/>
      <c r="P113" s="150"/>
      <c r="Q113" s="151"/>
      <c r="R113" s="151"/>
      <c r="S113" s="152"/>
      <c r="V113" s="129">
        <f t="shared" si="25"/>
        <v>0</v>
      </c>
      <c r="W113" s="129">
        <f t="shared" si="26"/>
        <v>0</v>
      </c>
      <c r="X113" s="129">
        <f t="shared" si="18"/>
        <v>0</v>
      </c>
      <c r="Y113" s="129">
        <f t="shared" si="27"/>
        <v>65.337800000000001</v>
      </c>
      <c r="Z113" s="153">
        <f t="shared" si="19"/>
        <v>0</v>
      </c>
      <c r="AA113" s="248">
        <f t="shared" si="20"/>
        <v>0</v>
      </c>
      <c r="AB113" s="153">
        <f t="shared" si="28"/>
        <v>0</v>
      </c>
      <c r="AC113" s="248">
        <f t="shared" si="21"/>
        <v>0</v>
      </c>
      <c r="AD113" s="153">
        <f t="shared" si="22"/>
        <v>0</v>
      </c>
      <c r="AE113" s="248">
        <f t="shared" si="23"/>
        <v>0</v>
      </c>
      <c r="AF113" s="153">
        <f t="shared" si="29"/>
        <v>0</v>
      </c>
      <c r="AG113" s="248">
        <f t="shared" si="24"/>
        <v>0</v>
      </c>
      <c r="AH113" s="153">
        <f t="shared" si="30"/>
        <v>0</v>
      </c>
      <c r="AI113" s="153"/>
      <c r="AJ113" s="153">
        <f t="shared" si="31"/>
        <v>0</v>
      </c>
      <c r="AK113" s="153">
        <f t="shared" si="32"/>
        <v>0</v>
      </c>
      <c r="AL113" s="153"/>
      <c r="AM113" s="153"/>
      <c r="AN113" s="153"/>
      <c r="AQ113" s="153"/>
      <c r="AW113" s="129">
        <f t="shared" si="33"/>
        <v>0</v>
      </c>
    </row>
    <row r="114" spans="1:49" ht="9.75" thickBot="1" x14ac:dyDescent="0.2">
      <c r="A114" s="159"/>
      <c r="B114" s="160"/>
      <c r="C114" s="160"/>
      <c r="D114" s="154" t="str">
        <f t="shared" si="34"/>
        <v xml:space="preserve"> </v>
      </c>
      <c r="E114" s="162"/>
      <c r="F114" s="262">
        <v>0</v>
      </c>
      <c r="G114" s="162">
        <v>37</v>
      </c>
      <c r="H114" s="162">
        <v>37</v>
      </c>
      <c r="I114" s="162"/>
      <c r="J114" s="164"/>
      <c r="K114" s="162"/>
      <c r="L114" s="164"/>
      <c r="M114" s="164"/>
      <c r="N114" s="162"/>
      <c r="O114" s="162"/>
      <c r="P114" s="162"/>
      <c r="Q114" s="155">
        <f>AS114</f>
        <v>0</v>
      </c>
      <c r="R114" s="155">
        <f>AT114</f>
        <v>0</v>
      </c>
      <c r="S114" s="156">
        <f>AU114</f>
        <v>0</v>
      </c>
      <c r="U114" s="129">
        <f>IF(OR(C113=5,C114=5),0,1)</f>
        <v>1</v>
      </c>
      <c r="V114" s="129">
        <f t="shared" si="25"/>
        <v>0</v>
      </c>
      <c r="W114" s="129">
        <f t="shared" si="26"/>
        <v>0</v>
      </c>
      <c r="X114" s="129">
        <f t="shared" si="18"/>
        <v>0</v>
      </c>
      <c r="Y114" s="129">
        <f t="shared" si="27"/>
        <v>65.337800000000001</v>
      </c>
      <c r="Z114" s="153">
        <f t="shared" si="19"/>
        <v>0</v>
      </c>
      <c r="AA114" s="248">
        <f t="shared" si="20"/>
        <v>0</v>
      </c>
      <c r="AB114" s="153">
        <f t="shared" si="28"/>
        <v>0</v>
      </c>
      <c r="AC114" s="248">
        <f t="shared" si="21"/>
        <v>0</v>
      </c>
      <c r="AD114" s="153">
        <f t="shared" si="22"/>
        <v>0</v>
      </c>
      <c r="AE114" s="248">
        <f t="shared" si="23"/>
        <v>0</v>
      </c>
      <c r="AF114" s="153">
        <f t="shared" si="29"/>
        <v>0</v>
      </c>
      <c r="AG114" s="248">
        <f t="shared" si="24"/>
        <v>0</v>
      </c>
      <c r="AH114" s="153">
        <f t="shared" si="30"/>
        <v>0</v>
      </c>
      <c r="AI114" s="153"/>
      <c r="AJ114" s="153">
        <f t="shared" si="31"/>
        <v>0</v>
      </c>
      <c r="AK114" s="153">
        <f t="shared" si="32"/>
        <v>0</v>
      </c>
      <c r="AL114" s="153"/>
      <c r="AM114" s="153">
        <f>AK113*W113+AK114*W114</f>
        <v>0</v>
      </c>
      <c r="AN114" s="153">
        <f>(SUM(AD113:AG113)*W113+SUM(AD114:AG114)*W114)*12*VLOOKUP(C114,JNovergang,3,1)</f>
        <v>0</v>
      </c>
      <c r="AO114" s="153">
        <f>AM114-AN114</f>
        <v>0</v>
      </c>
      <c r="AP114" s="153">
        <f>M114*(100+X114)%</f>
        <v>0</v>
      </c>
      <c r="AQ114" s="248">
        <f>ROUND(M114*F114,2)</f>
        <v>0</v>
      </c>
      <c r="AS114" s="248">
        <f>ROUND((AP114+AQ114)+AM114*(N114/12),0)</f>
        <v>0</v>
      </c>
      <c r="AT114" s="248">
        <f>ROUND(AM114*(O114/12),0)</f>
        <v>0</v>
      </c>
      <c r="AU114" s="248">
        <f>ROUND(AM114*(P114/12)*U114,0)</f>
        <v>0</v>
      </c>
      <c r="AW114" s="129">
        <f t="shared" si="33"/>
        <v>0</v>
      </c>
    </row>
    <row r="115" spans="1:49" x14ac:dyDescent="0.15">
      <c r="A115" s="157"/>
      <c r="B115" s="158"/>
      <c r="C115" s="158"/>
      <c r="D115" s="149" t="str">
        <f t="shared" si="34"/>
        <v xml:space="preserve"> </v>
      </c>
      <c r="E115" s="161"/>
      <c r="F115" s="261">
        <v>0</v>
      </c>
      <c r="G115" s="161">
        <v>37</v>
      </c>
      <c r="H115" s="161">
        <v>37</v>
      </c>
      <c r="I115" s="161"/>
      <c r="J115" s="163"/>
      <c r="K115" s="161"/>
      <c r="L115" s="163"/>
      <c r="M115" s="150"/>
      <c r="N115" s="150"/>
      <c r="O115" s="150"/>
      <c r="P115" s="150"/>
      <c r="Q115" s="151"/>
      <c r="R115" s="151"/>
      <c r="S115" s="152"/>
      <c r="V115" s="129">
        <f t="shared" si="25"/>
        <v>0</v>
      </c>
      <c r="W115" s="129">
        <f t="shared" si="26"/>
        <v>0</v>
      </c>
      <c r="X115" s="129">
        <f t="shared" ref="X115:X178" si="35">VLOOKUP(C115,JNferiepenge,3,1)</f>
        <v>0</v>
      </c>
      <c r="Y115" s="129">
        <f t="shared" si="27"/>
        <v>65.337800000000001</v>
      </c>
      <c r="Z115" s="153">
        <f t="shared" si="19"/>
        <v>0</v>
      </c>
      <c r="AA115" s="248">
        <f t="shared" si="20"/>
        <v>0</v>
      </c>
      <c r="AB115" s="153">
        <f t="shared" si="28"/>
        <v>0</v>
      </c>
      <c r="AC115" s="248">
        <f t="shared" si="21"/>
        <v>0</v>
      </c>
      <c r="AD115" s="153">
        <f t="shared" si="22"/>
        <v>0</v>
      </c>
      <c r="AE115" s="248">
        <f t="shared" si="23"/>
        <v>0</v>
      </c>
      <c r="AF115" s="153">
        <f t="shared" si="29"/>
        <v>0</v>
      </c>
      <c r="AG115" s="248">
        <f t="shared" si="24"/>
        <v>0</v>
      </c>
      <c r="AH115" s="153">
        <f t="shared" si="30"/>
        <v>0</v>
      </c>
      <c r="AI115" s="153"/>
      <c r="AJ115" s="153">
        <f t="shared" si="31"/>
        <v>0</v>
      </c>
      <c r="AK115" s="153">
        <f t="shared" si="32"/>
        <v>0</v>
      </c>
      <c r="AL115" s="153"/>
      <c r="AM115" s="153"/>
      <c r="AN115" s="153"/>
      <c r="AQ115" s="153"/>
      <c r="AW115" s="129">
        <f t="shared" si="33"/>
        <v>0</v>
      </c>
    </row>
    <row r="116" spans="1:49" ht="9.75" thickBot="1" x14ac:dyDescent="0.2">
      <c r="A116" s="159"/>
      <c r="B116" s="160"/>
      <c r="C116" s="160"/>
      <c r="D116" s="154" t="str">
        <f t="shared" si="34"/>
        <v xml:space="preserve"> </v>
      </c>
      <c r="E116" s="162"/>
      <c r="F116" s="262">
        <v>0</v>
      </c>
      <c r="G116" s="162">
        <v>37</v>
      </c>
      <c r="H116" s="162">
        <v>37</v>
      </c>
      <c r="I116" s="162"/>
      <c r="J116" s="164"/>
      <c r="K116" s="162"/>
      <c r="L116" s="164"/>
      <c r="M116" s="164"/>
      <c r="N116" s="162"/>
      <c r="O116" s="162"/>
      <c r="P116" s="162"/>
      <c r="Q116" s="155">
        <f>AS116</f>
        <v>0</v>
      </c>
      <c r="R116" s="155">
        <f>AT116</f>
        <v>0</v>
      </c>
      <c r="S116" s="156">
        <f>AU116</f>
        <v>0</v>
      </c>
      <c r="U116" s="129">
        <f>IF(OR(C115=5,C116=5),0,1)</f>
        <v>1</v>
      </c>
      <c r="V116" s="129">
        <f t="shared" si="25"/>
        <v>0</v>
      </c>
      <c r="W116" s="129">
        <f t="shared" si="26"/>
        <v>0</v>
      </c>
      <c r="X116" s="129">
        <f t="shared" si="35"/>
        <v>0</v>
      </c>
      <c r="Y116" s="129">
        <f t="shared" si="27"/>
        <v>65.337800000000001</v>
      </c>
      <c r="Z116" s="153">
        <f t="shared" si="19"/>
        <v>0</v>
      </c>
      <c r="AA116" s="248">
        <f t="shared" si="20"/>
        <v>0</v>
      </c>
      <c r="AB116" s="153">
        <f t="shared" si="28"/>
        <v>0</v>
      </c>
      <c r="AC116" s="248">
        <f t="shared" si="21"/>
        <v>0</v>
      </c>
      <c r="AD116" s="153">
        <f t="shared" si="22"/>
        <v>0</v>
      </c>
      <c r="AE116" s="248">
        <f t="shared" si="23"/>
        <v>0</v>
      </c>
      <c r="AF116" s="153">
        <f t="shared" si="29"/>
        <v>0</v>
      </c>
      <c r="AG116" s="248">
        <f t="shared" si="24"/>
        <v>0</v>
      </c>
      <c r="AH116" s="153">
        <f t="shared" si="30"/>
        <v>0</v>
      </c>
      <c r="AI116" s="153"/>
      <c r="AJ116" s="153">
        <f t="shared" si="31"/>
        <v>0</v>
      </c>
      <c r="AK116" s="153">
        <f t="shared" si="32"/>
        <v>0</v>
      </c>
      <c r="AL116" s="153"/>
      <c r="AM116" s="153">
        <f>AK115*W115+AK116*W116</f>
        <v>0</v>
      </c>
      <c r="AN116" s="153">
        <f>(SUM(AD115:AG115)*W115+SUM(AD116:AG116)*W116)*12*VLOOKUP(C116,JNovergang,3,1)</f>
        <v>0</v>
      </c>
      <c r="AO116" s="153">
        <f>AM116-AN116</f>
        <v>0</v>
      </c>
      <c r="AP116" s="153">
        <f>M116*(100+X116)%</f>
        <v>0</v>
      </c>
      <c r="AQ116" s="248">
        <f>ROUND(M116*F116,2)</f>
        <v>0</v>
      </c>
      <c r="AS116" s="248">
        <f>ROUND((AP116+AQ116)+AM116*(N116/12),0)</f>
        <v>0</v>
      </c>
      <c r="AT116" s="248">
        <f>ROUND(AM116*(O116/12),0)</f>
        <v>0</v>
      </c>
      <c r="AU116" s="248">
        <f>ROUND(AM116*(P116/12)*U116,0)</f>
        <v>0</v>
      </c>
      <c r="AW116" s="129">
        <f t="shared" si="33"/>
        <v>0</v>
      </c>
    </row>
    <row r="117" spans="1:49" x14ac:dyDescent="0.15">
      <c r="A117" s="157"/>
      <c r="B117" s="158"/>
      <c r="C117" s="158"/>
      <c r="D117" s="149" t="str">
        <f t="shared" si="34"/>
        <v xml:space="preserve"> </v>
      </c>
      <c r="E117" s="161"/>
      <c r="F117" s="261">
        <v>0</v>
      </c>
      <c r="G117" s="161">
        <v>37</v>
      </c>
      <c r="H117" s="161">
        <v>37</v>
      </c>
      <c r="I117" s="161"/>
      <c r="J117" s="163"/>
      <c r="K117" s="161"/>
      <c r="L117" s="163"/>
      <c r="M117" s="150"/>
      <c r="N117" s="150"/>
      <c r="O117" s="150"/>
      <c r="P117" s="150"/>
      <c r="Q117" s="151"/>
      <c r="R117" s="151"/>
      <c r="S117" s="152"/>
      <c r="V117" s="129">
        <f t="shared" si="25"/>
        <v>0</v>
      </c>
      <c r="W117" s="129">
        <f t="shared" si="26"/>
        <v>0</v>
      </c>
      <c r="X117" s="129">
        <f t="shared" si="35"/>
        <v>0</v>
      </c>
      <c r="Y117" s="129">
        <f t="shared" si="27"/>
        <v>65.337800000000001</v>
      </c>
      <c r="Z117" s="153">
        <f t="shared" si="19"/>
        <v>0</v>
      </c>
      <c r="AA117" s="248">
        <f t="shared" si="20"/>
        <v>0</v>
      </c>
      <c r="AB117" s="153">
        <f t="shared" si="28"/>
        <v>0</v>
      </c>
      <c r="AC117" s="248">
        <f t="shared" si="21"/>
        <v>0</v>
      </c>
      <c r="AD117" s="153">
        <f t="shared" si="22"/>
        <v>0</v>
      </c>
      <c r="AE117" s="248">
        <f t="shared" si="23"/>
        <v>0</v>
      </c>
      <c r="AF117" s="153">
        <f t="shared" si="29"/>
        <v>0</v>
      </c>
      <c r="AG117" s="248">
        <f t="shared" si="24"/>
        <v>0</v>
      </c>
      <c r="AH117" s="153">
        <f t="shared" si="30"/>
        <v>0</v>
      </c>
      <c r="AI117" s="153"/>
      <c r="AJ117" s="153">
        <f t="shared" si="31"/>
        <v>0</v>
      </c>
      <c r="AK117" s="153">
        <f t="shared" si="32"/>
        <v>0</v>
      </c>
      <c r="AL117" s="153"/>
      <c r="AM117" s="153"/>
      <c r="AN117" s="153"/>
      <c r="AQ117" s="153"/>
      <c r="AW117" s="129">
        <f t="shared" si="33"/>
        <v>0</v>
      </c>
    </row>
    <row r="118" spans="1:49" ht="9.75" thickBot="1" x14ac:dyDescent="0.2">
      <c r="A118" s="159"/>
      <c r="B118" s="160"/>
      <c r="C118" s="160"/>
      <c r="D118" s="154" t="str">
        <f t="shared" si="34"/>
        <v xml:space="preserve"> </v>
      </c>
      <c r="E118" s="162"/>
      <c r="F118" s="262">
        <v>0</v>
      </c>
      <c r="G118" s="162">
        <v>37</v>
      </c>
      <c r="H118" s="162">
        <v>37</v>
      </c>
      <c r="I118" s="162"/>
      <c r="J118" s="164"/>
      <c r="K118" s="162"/>
      <c r="L118" s="164"/>
      <c r="M118" s="164"/>
      <c r="N118" s="162"/>
      <c r="O118" s="162"/>
      <c r="P118" s="162"/>
      <c r="Q118" s="155">
        <f>AS118</f>
        <v>0</v>
      </c>
      <c r="R118" s="155">
        <f>AT118</f>
        <v>0</v>
      </c>
      <c r="S118" s="156">
        <f>AU118</f>
        <v>0</v>
      </c>
      <c r="U118" s="129">
        <f>IF(OR(C117=5,C118=5),0,1)</f>
        <v>1</v>
      </c>
      <c r="V118" s="129">
        <f t="shared" si="25"/>
        <v>0</v>
      </c>
      <c r="W118" s="129">
        <f t="shared" si="26"/>
        <v>0</v>
      </c>
      <c r="X118" s="129">
        <f t="shared" si="35"/>
        <v>0</v>
      </c>
      <c r="Y118" s="129">
        <f t="shared" si="27"/>
        <v>65.337800000000001</v>
      </c>
      <c r="Z118" s="153">
        <f t="shared" si="19"/>
        <v>0</v>
      </c>
      <c r="AA118" s="248">
        <f t="shared" si="20"/>
        <v>0</v>
      </c>
      <c r="AB118" s="153">
        <f t="shared" si="28"/>
        <v>0</v>
      </c>
      <c r="AC118" s="248">
        <f t="shared" si="21"/>
        <v>0</v>
      </c>
      <c r="AD118" s="153">
        <f t="shared" si="22"/>
        <v>0</v>
      </c>
      <c r="AE118" s="248">
        <f t="shared" si="23"/>
        <v>0</v>
      </c>
      <c r="AF118" s="153">
        <f t="shared" si="29"/>
        <v>0</v>
      </c>
      <c r="AG118" s="248">
        <f t="shared" si="24"/>
        <v>0</v>
      </c>
      <c r="AH118" s="153">
        <f t="shared" si="30"/>
        <v>0</v>
      </c>
      <c r="AI118" s="153"/>
      <c r="AJ118" s="153">
        <f t="shared" si="31"/>
        <v>0</v>
      </c>
      <c r="AK118" s="153">
        <f t="shared" si="32"/>
        <v>0</v>
      </c>
      <c r="AL118" s="153"/>
      <c r="AM118" s="153">
        <f>AK117*W117+AK118*W118</f>
        <v>0</v>
      </c>
      <c r="AN118" s="153">
        <f>(SUM(AD117:AG117)*W117+SUM(AD118:AG118)*W118)*12*VLOOKUP(C118,JNovergang,3,1)</f>
        <v>0</v>
      </c>
      <c r="AO118" s="153">
        <f>AM118-AN118</f>
        <v>0</v>
      </c>
      <c r="AP118" s="153">
        <f>M118*(100+X118)%</f>
        <v>0</v>
      </c>
      <c r="AQ118" s="248">
        <f>ROUND(M118*F118,2)</f>
        <v>0</v>
      </c>
      <c r="AS118" s="248">
        <f>ROUND((AP118+AQ118)+AM118*(N118/12),0)</f>
        <v>0</v>
      </c>
      <c r="AT118" s="248">
        <f>ROUND(AM118*(O118/12),0)</f>
        <v>0</v>
      </c>
      <c r="AU118" s="248">
        <f>ROUND(AM118*(P118/12)*U118,0)</f>
        <v>0</v>
      </c>
      <c r="AW118" s="129">
        <f t="shared" si="33"/>
        <v>0</v>
      </c>
    </row>
    <row r="119" spans="1:49" x14ac:dyDescent="0.15">
      <c r="A119" s="157"/>
      <c r="B119" s="158"/>
      <c r="C119" s="158"/>
      <c r="D119" s="149" t="str">
        <f t="shared" si="34"/>
        <v xml:space="preserve"> </v>
      </c>
      <c r="E119" s="161"/>
      <c r="F119" s="261">
        <v>0</v>
      </c>
      <c r="G119" s="161">
        <v>37</v>
      </c>
      <c r="H119" s="161">
        <v>37</v>
      </c>
      <c r="I119" s="161"/>
      <c r="J119" s="163"/>
      <c r="K119" s="161"/>
      <c r="L119" s="163"/>
      <c r="M119" s="150"/>
      <c r="N119" s="150"/>
      <c r="O119" s="150"/>
      <c r="P119" s="150"/>
      <c r="Q119" s="151"/>
      <c r="R119" s="151"/>
      <c r="S119" s="152"/>
      <c r="V119" s="129">
        <f t="shared" si="25"/>
        <v>0</v>
      </c>
      <c r="W119" s="129">
        <f t="shared" si="26"/>
        <v>0</v>
      </c>
      <c r="X119" s="129">
        <f t="shared" si="35"/>
        <v>0</v>
      </c>
      <c r="Y119" s="129">
        <f t="shared" si="27"/>
        <v>65.337800000000001</v>
      </c>
      <c r="Z119" s="153">
        <f t="shared" si="19"/>
        <v>0</v>
      </c>
      <c r="AA119" s="248">
        <f t="shared" si="20"/>
        <v>0</v>
      </c>
      <c r="AB119" s="153">
        <f t="shared" si="28"/>
        <v>0</v>
      </c>
      <c r="AC119" s="248">
        <f t="shared" si="21"/>
        <v>0</v>
      </c>
      <c r="AD119" s="153">
        <f t="shared" si="22"/>
        <v>0</v>
      </c>
      <c r="AE119" s="248">
        <f t="shared" si="23"/>
        <v>0</v>
      </c>
      <c r="AF119" s="153">
        <f t="shared" si="29"/>
        <v>0</v>
      </c>
      <c r="AG119" s="248">
        <f t="shared" si="24"/>
        <v>0</v>
      </c>
      <c r="AH119" s="153">
        <f t="shared" si="30"/>
        <v>0</v>
      </c>
      <c r="AI119" s="153"/>
      <c r="AJ119" s="153">
        <f t="shared" si="31"/>
        <v>0</v>
      </c>
      <c r="AK119" s="153">
        <f t="shared" si="32"/>
        <v>0</v>
      </c>
      <c r="AL119" s="153"/>
      <c r="AM119" s="153"/>
      <c r="AN119" s="153"/>
      <c r="AQ119" s="153"/>
      <c r="AW119" s="129">
        <f t="shared" si="33"/>
        <v>0</v>
      </c>
    </row>
    <row r="120" spans="1:49" ht="9.75" thickBot="1" x14ac:dyDescent="0.2">
      <c r="A120" s="159"/>
      <c r="B120" s="160"/>
      <c r="C120" s="160"/>
      <c r="D120" s="154" t="str">
        <f t="shared" si="34"/>
        <v xml:space="preserve"> </v>
      </c>
      <c r="E120" s="162"/>
      <c r="F120" s="262">
        <v>0</v>
      </c>
      <c r="G120" s="162">
        <v>37</v>
      </c>
      <c r="H120" s="162">
        <v>37</v>
      </c>
      <c r="I120" s="162"/>
      <c r="J120" s="164"/>
      <c r="K120" s="162"/>
      <c r="L120" s="164"/>
      <c r="M120" s="164"/>
      <c r="N120" s="162"/>
      <c r="O120" s="162"/>
      <c r="P120" s="162"/>
      <c r="Q120" s="155">
        <f>AS120</f>
        <v>0</v>
      </c>
      <c r="R120" s="155">
        <f>AT120</f>
        <v>0</v>
      </c>
      <c r="S120" s="156">
        <f>AU120</f>
        <v>0</v>
      </c>
      <c r="U120" s="129">
        <f>IF(OR(C119=5,C120=5),0,1)</f>
        <v>1</v>
      </c>
      <c r="V120" s="129">
        <f t="shared" si="25"/>
        <v>0</v>
      </c>
      <c r="W120" s="129">
        <f t="shared" si="26"/>
        <v>0</v>
      </c>
      <c r="X120" s="129">
        <f t="shared" si="35"/>
        <v>0</v>
      </c>
      <c r="Y120" s="129">
        <f t="shared" si="27"/>
        <v>65.337800000000001</v>
      </c>
      <c r="Z120" s="153">
        <f t="shared" si="19"/>
        <v>0</v>
      </c>
      <c r="AA120" s="248">
        <f t="shared" si="20"/>
        <v>0</v>
      </c>
      <c r="AB120" s="153">
        <f t="shared" si="28"/>
        <v>0</v>
      </c>
      <c r="AC120" s="248">
        <f t="shared" si="21"/>
        <v>0</v>
      </c>
      <c r="AD120" s="153">
        <f t="shared" si="22"/>
        <v>0</v>
      </c>
      <c r="AE120" s="248">
        <f t="shared" si="23"/>
        <v>0</v>
      </c>
      <c r="AF120" s="153">
        <f t="shared" si="29"/>
        <v>0</v>
      </c>
      <c r="AG120" s="248">
        <f t="shared" si="24"/>
        <v>0</v>
      </c>
      <c r="AH120" s="153">
        <f t="shared" si="30"/>
        <v>0</v>
      </c>
      <c r="AI120" s="153"/>
      <c r="AJ120" s="153">
        <f t="shared" si="31"/>
        <v>0</v>
      </c>
      <c r="AK120" s="153">
        <f t="shared" si="32"/>
        <v>0</v>
      </c>
      <c r="AL120" s="153"/>
      <c r="AM120" s="153">
        <f>AK119*W119+AK120*W120</f>
        <v>0</v>
      </c>
      <c r="AN120" s="153">
        <f>(SUM(AD119:AG119)*W119+SUM(AD120:AG120)*W120)*12*VLOOKUP(C120,JNovergang,3,1)</f>
        <v>0</v>
      </c>
      <c r="AO120" s="153">
        <f>AM120-AN120</f>
        <v>0</v>
      </c>
      <c r="AP120" s="153">
        <f>M120*(100+X120)%</f>
        <v>0</v>
      </c>
      <c r="AQ120" s="248">
        <f>ROUND(M120*F120,2)</f>
        <v>0</v>
      </c>
      <c r="AS120" s="248">
        <f>ROUND((AP120+AQ120)+AM120*(N120/12),0)</f>
        <v>0</v>
      </c>
      <c r="AT120" s="248">
        <f>ROUND(AM120*(O120/12),0)</f>
        <v>0</v>
      </c>
      <c r="AU120" s="248">
        <f>ROUND(AM120*(P120/12)*U120,0)</f>
        <v>0</v>
      </c>
      <c r="AW120" s="129">
        <f t="shared" si="33"/>
        <v>0</v>
      </c>
    </row>
    <row r="121" spans="1:49" x14ac:dyDescent="0.15">
      <c r="A121" s="157"/>
      <c r="B121" s="158"/>
      <c r="C121" s="158"/>
      <c r="D121" s="149" t="str">
        <f t="shared" si="34"/>
        <v xml:space="preserve"> </v>
      </c>
      <c r="E121" s="161"/>
      <c r="F121" s="261">
        <v>0</v>
      </c>
      <c r="G121" s="161">
        <v>37</v>
      </c>
      <c r="H121" s="161">
        <v>37</v>
      </c>
      <c r="I121" s="161"/>
      <c r="J121" s="163"/>
      <c r="K121" s="161"/>
      <c r="L121" s="163"/>
      <c r="M121" s="150"/>
      <c r="N121" s="150"/>
      <c r="O121" s="150"/>
      <c r="P121" s="150"/>
      <c r="Q121" s="151"/>
      <c r="R121" s="151"/>
      <c r="S121" s="152"/>
      <c r="V121" s="129">
        <f t="shared" si="25"/>
        <v>0</v>
      </c>
      <c r="W121" s="129">
        <f t="shared" si="26"/>
        <v>0</v>
      </c>
      <c r="X121" s="129">
        <f t="shared" si="35"/>
        <v>0</v>
      </c>
      <c r="Y121" s="129">
        <f t="shared" si="27"/>
        <v>65.337800000000001</v>
      </c>
      <c r="Z121" s="153">
        <f t="shared" si="19"/>
        <v>0</v>
      </c>
      <c r="AA121" s="248">
        <f t="shared" si="20"/>
        <v>0</v>
      </c>
      <c r="AB121" s="153">
        <f t="shared" si="28"/>
        <v>0</v>
      </c>
      <c r="AC121" s="248">
        <f t="shared" si="21"/>
        <v>0</v>
      </c>
      <c r="AD121" s="153">
        <f t="shared" si="22"/>
        <v>0</v>
      </c>
      <c r="AE121" s="248">
        <f t="shared" si="23"/>
        <v>0</v>
      </c>
      <c r="AF121" s="153">
        <f t="shared" si="29"/>
        <v>0</v>
      </c>
      <c r="AG121" s="248">
        <f t="shared" si="24"/>
        <v>0</v>
      </c>
      <c r="AH121" s="153">
        <f t="shared" si="30"/>
        <v>0</v>
      </c>
      <c r="AI121" s="153"/>
      <c r="AJ121" s="153">
        <f t="shared" si="31"/>
        <v>0</v>
      </c>
      <c r="AK121" s="153">
        <f t="shared" si="32"/>
        <v>0</v>
      </c>
      <c r="AL121" s="153"/>
      <c r="AM121" s="153"/>
      <c r="AN121" s="153"/>
      <c r="AQ121" s="153"/>
      <c r="AW121" s="129">
        <f t="shared" si="33"/>
        <v>0</v>
      </c>
    </row>
    <row r="122" spans="1:49" ht="9.75" thickBot="1" x14ac:dyDescent="0.2">
      <c r="A122" s="159"/>
      <c r="B122" s="160"/>
      <c r="C122" s="160"/>
      <c r="D122" s="154" t="str">
        <f t="shared" si="34"/>
        <v xml:space="preserve"> </v>
      </c>
      <c r="E122" s="162"/>
      <c r="F122" s="262">
        <v>0</v>
      </c>
      <c r="G122" s="162">
        <v>37</v>
      </c>
      <c r="H122" s="162">
        <v>37</v>
      </c>
      <c r="I122" s="162"/>
      <c r="J122" s="164"/>
      <c r="K122" s="162"/>
      <c r="L122" s="164"/>
      <c r="M122" s="164"/>
      <c r="N122" s="162"/>
      <c r="O122" s="162"/>
      <c r="P122" s="162"/>
      <c r="Q122" s="155">
        <f>AS122</f>
        <v>0</v>
      </c>
      <c r="R122" s="155">
        <f>AT122</f>
        <v>0</v>
      </c>
      <c r="S122" s="156">
        <f>AU122</f>
        <v>0</v>
      </c>
      <c r="U122" s="129">
        <f>IF(OR(C121=5,C122=5),0,1)</f>
        <v>1</v>
      </c>
      <c r="V122" s="129">
        <f t="shared" si="25"/>
        <v>0</v>
      </c>
      <c r="W122" s="129">
        <f t="shared" si="26"/>
        <v>0</v>
      </c>
      <c r="X122" s="129">
        <f t="shared" si="35"/>
        <v>0</v>
      </c>
      <c r="Y122" s="129">
        <f t="shared" si="27"/>
        <v>65.337800000000001</v>
      </c>
      <c r="Z122" s="153">
        <f t="shared" si="19"/>
        <v>0</v>
      </c>
      <c r="AA122" s="248">
        <f t="shared" si="20"/>
        <v>0</v>
      </c>
      <c r="AB122" s="153">
        <f t="shared" si="28"/>
        <v>0</v>
      </c>
      <c r="AC122" s="248">
        <f t="shared" si="21"/>
        <v>0</v>
      </c>
      <c r="AD122" s="153">
        <f t="shared" si="22"/>
        <v>0</v>
      </c>
      <c r="AE122" s="248">
        <f t="shared" si="23"/>
        <v>0</v>
      </c>
      <c r="AF122" s="153">
        <f t="shared" si="29"/>
        <v>0</v>
      </c>
      <c r="AG122" s="248">
        <f t="shared" si="24"/>
        <v>0</v>
      </c>
      <c r="AH122" s="153">
        <f t="shared" si="30"/>
        <v>0</v>
      </c>
      <c r="AI122" s="153"/>
      <c r="AJ122" s="153">
        <f t="shared" si="31"/>
        <v>0</v>
      </c>
      <c r="AK122" s="153">
        <f t="shared" si="32"/>
        <v>0</v>
      </c>
      <c r="AL122" s="153"/>
      <c r="AM122" s="153">
        <f>AK121*W121+AK122*W122</f>
        <v>0</v>
      </c>
      <c r="AN122" s="153">
        <f>(SUM(AD121:AG121)*W121+SUM(AD122:AG122)*W122)*12*VLOOKUP(C122,JNovergang,3,1)</f>
        <v>0</v>
      </c>
      <c r="AO122" s="153">
        <f>AM122-AN122</f>
        <v>0</v>
      </c>
      <c r="AP122" s="153">
        <f>M122*(100+X122)%</f>
        <v>0</v>
      </c>
      <c r="AQ122" s="248">
        <f>ROUND(M122*F122,2)</f>
        <v>0</v>
      </c>
      <c r="AS122" s="248">
        <f>ROUND((AP122+AQ122)+AM122*(N122/12),0)</f>
        <v>0</v>
      </c>
      <c r="AT122" s="248">
        <f>ROUND(AM122*(O122/12),0)</f>
        <v>0</v>
      </c>
      <c r="AU122" s="248">
        <f>ROUND(AM122*(P122/12)*U122,0)</f>
        <v>0</v>
      </c>
      <c r="AW122" s="129">
        <f t="shared" si="33"/>
        <v>0</v>
      </c>
    </row>
    <row r="123" spans="1:49" x14ac:dyDescent="0.15">
      <c r="A123" s="157"/>
      <c r="B123" s="158"/>
      <c r="C123" s="158"/>
      <c r="D123" s="149" t="str">
        <f t="shared" si="34"/>
        <v xml:space="preserve"> </v>
      </c>
      <c r="E123" s="161"/>
      <c r="F123" s="261">
        <v>0</v>
      </c>
      <c r="G123" s="161">
        <v>37</v>
      </c>
      <c r="H123" s="161">
        <v>37</v>
      </c>
      <c r="I123" s="161"/>
      <c r="J123" s="163"/>
      <c r="K123" s="161"/>
      <c r="L123" s="163"/>
      <c r="M123" s="150"/>
      <c r="N123" s="150"/>
      <c r="O123" s="150"/>
      <c r="P123" s="150"/>
      <c r="Q123" s="151"/>
      <c r="R123" s="151"/>
      <c r="S123" s="152"/>
      <c r="V123" s="129">
        <f t="shared" si="25"/>
        <v>0</v>
      </c>
      <c r="W123" s="129">
        <f t="shared" si="26"/>
        <v>0</v>
      </c>
      <c r="X123" s="129">
        <f t="shared" si="35"/>
        <v>0</v>
      </c>
      <c r="Y123" s="129">
        <f t="shared" si="27"/>
        <v>65.337800000000001</v>
      </c>
      <c r="Z123" s="153">
        <f t="shared" si="19"/>
        <v>0</v>
      </c>
      <c r="AA123" s="248">
        <f t="shared" si="20"/>
        <v>0</v>
      </c>
      <c r="AB123" s="153">
        <f t="shared" si="28"/>
        <v>0</v>
      </c>
      <c r="AC123" s="248">
        <f t="shared" si="21"/>
        <v>0</v>
      </c>
      <c r="AD123" s="153">
        <f t="shared" si="22"/>
        <v>0</v>
      </c>
      <c r="AE123" s="248">
        <f t="shared" si="23"/>
        <v>0</v>
      </c>
      <c r="AF123" s="153">
        <f t="shared" si="29"/>
        <v>0</v>
      </c>
      <c r="AG123" s="248">
        <f t="shared" si="24"/>
        <v>0</v>
      </c>
      <c r="AH123" s="153">
        <f t="shared" si="30"/>
        <v>0</v>
      </c>
      <c r="AI123" s="153"/>
      <c r="AJ123" s="153">
        <f t="shared" si="31"/>
        <v>0</v>
      </c>
      <c r="AK123" s="153">
        <f t="shared" si="32"/>
        <v>0</v>
      </c>
      <c r="AL123" s="153"/>
      <c r="AM123" s="153"/>
      <c r="AN123" s="153"/>
      <c r="AQ123" s="153"/>
      <c r="AW123" s="129">
        <f t="shared" si="33"/>
        <v>0</v>
      </c>
    </row>
    <row r="124" spans="1:49" ht="9.75" thickBot="1" x14ac:dyDescent="0.2">
      <c r="A124" s="159"/>
      <c r="B124" s="160"/>
      <c r="C124" s="160"/>
      <c r="D124" s="154" t="str">
        <f t="shared" si="34"/>
        <v xml:space="preserve"> </v>
      </c>
      <c r="E124" s="162"/>
      <c r="F124" s="262">
        <v>0</v>
      </c>
      <c r="G124" s="162">
        <v>37</v>
      </c>
      <c r="H124" s="162">
        <v>37</v>
      </c>
      <c r="I124" s="162"/>
      <c r="J124" s="164"/>
      <c r="K124" s="162"/>
      <c r="L124" s="164"/>
      <c r="M124" s="164"/>
      <c r="N124" s="162"/>
      <c r="O124" s="162"/>
      <c r="P124" s="162"/>
      <c r="Q124" s="155">
        <f>AS124</f>
        <v>0</v>
      </c>
      <c r="R124" s="155">
        <f>AT124</f>
        <v>0</v>
      </c>
      <c r="S124" s="156">
        <f>AU124</f>
        <v>0</v>
      </c>
      <c r="U124" s="129">
        <f>IF(OR(C123=5,C124=5),0,1)</f>
        <v>1</v>
      </c>
      <c r="V124" s="129">
        <f t="shared" si="25"/>
        <v>0</v>
      </c>
      <c r="W124" s="129">
        <f t="shared" si="26"/>
        <v>0</v>
      </c>
      <c r="X124" s="129">
        <f t="shared" si="35"/>
        <v>0</v>
      </c>
      <c r="Y124" s="129">
        <f t="shared" si="27"/>
        <v>65.337800000000001</v>
      </c>
      <c r="Z124" s="153">
        <f t="shared" si="19"/>
        <v>0</v>
      </c>
      <c r="AA124" s="248">
        <f t="shared" si="20"/>
        <v>0</v>
      </c>
      <c r="AB124" s="153">
        <f t="shared" si="28"/>
        <v>0</v>
      </c>
      <c r="AC124" s="248">
        <f t="shared" si="21"/>
        <v>0</v>
      </c>
      <c r="AD124" s="153">
        <f t="shared" si="22"/>
        <v>0</v>
      </c>
      <c r="AE124" s="248">
        <f t="shared" si="23"/>
        <v>0</v>
      </c>
      <c r="AF124" s="153">
        <f t="shared" si="29"/>
        <v>0</v>
      </c>
      <c r="AG124" s="248">
        <f t="shared" si="24"/>
        <v>0</v>
      </c>
      <c r="AH124" s="153">
        <f t="shared" si="30"/>
        <v>0</v>
      </c>
      <c r="AI124" s="153"/>
      <c r="AJ124" s="153">
        <f t="shared" si="31"/>
        <v>0</v>
      </c>
      <c r="AK124" s="153">
        <f t="shared" si="32"/>
        <v>0</v>
      </c>
      <c r="AL124" s="153"/>
      <c r="AM124" s="153">
        <f>AK123*W123+AK124*W124</f>
        <v>0</v>
      </c>
      <c r="AN124" s="153">
        <f>(SUM(AD123:AG123)*W123+SUM(AD124:AG124)*W124)*12*VLOOKUP(C124,JNovergang,3,1)</f>
        <v>0</v>
      </c>
      <c r="AO124" s="153">
        <f>AM124-AN124</f>
        <v>0</v>
      </c>
      <c r="AP124" s="153">
        <f>M124*(100+X124)%</f>
        <v>0</v>
      </c>
      <c r="AQ124" s="248">
        <f>ROUND(M124*F124,2)</f>
        <v>0</v>
      </c>
      <c r="AS124" s="248">
        <f>ROUND((AP124+AQ124)+AM124*(N124/12),0)</f>
        <v>0</v>
      </c>
      <c r="AT124" s="248">
        <f>ROUND(AM124*(O124/12),0)</f>
        <v>0</v>
      </c>
      <c r="AU124" s="248">
        <f>ROUND(AM124*(P124/12)*U124,0)</f>
        <v>0</v>
      </c>
      <c r="AW124" s="129">
        <f t="shared" si="33"/>
        <v>0</v>
      </c>
    </row>
    <row r="125" spans="1:49" x14ac:dyDescent="0.15">
      <c r="A125" s="157"/>
      <c r="B125" s="158"/>
      <c r="C125" s="158"/>
      <c r="D125" s="149" t="str">
        <f t="shared" si="34"/>
        <v xml:space="preserve"> </v>
      </c>
      <c r="E125" s="161"/>
      <c r="F125" s="261">
        <v>0</v>
      </c>
      <c r="G125" s="161">
        <v>37</v>
      </c>
      <c r="H125" s="161">
        <v>37</v>
      </c>
      <c r="I125" s="161"/>
      <c r="J125" s="163"/>
      <c r="K125" s="161"/>
      <c r="L125" s="163"/>
      <c r="M125" s="150"/>
      <c r="N125" s="150"/>
      <c r="O125" s="150"/>
      <c r="P125" s="150"/>
      <c r="Q125" s="151"/>
      <c r="R125" s="151"/>
      <c r="S125" s="152"/>
      <c r="V125" s="129">
        <f t="shared" si="25"/>
        <v>0</v>
      </c>
      <c r="W125" s="129">
        <f t="shared" si="26"/>
        <v>0</v>
      </c>
      <c r="X125" s="129">
        <f t="shared" si="35"/>
        <v>0</v>
      </c>
      <c r="Y125" s="129">
        <f t="shared" si="27"/>
        <v>65.337800000000001</v>
      </c>
      <c r="Z125" s="153">
        <f t="shared" si="19"/>
        <v>0</v>
      </c>
      <c r="AA125" s="248">
        <f t="shared" si="20"/>
        <v>0</v>
      </c>
      <c r="AB125" s="153">
        <f t="shared" si="28"/>
        <v>0</v>
      </c>
      <c r="AC125" s="248">
        <f t="shared" si="21"/>
        <v>0</v>
      </c>
      <c r="AD125" s="153">
        <f t="shared" si="22"/>
        <v>0</v>
      </c>
      <c r="AE125" s="248">
        <f t="shared" si="23"/>
        <v>0</v>
      </c>
      <c r="AF125" s="153">
        <f t="shared" si="29"/>
        <v>0</v>
      </c>
      <c r="AG125" s="248">
        <f t="shared" si="24"/>
        <v>0</v>
      </c>
      <c r="AH125" s="153">
        <f t="shared" si="30"/>
        <v>0</v>
      </c>
      <c r="AI125" s="153"/>
      <c r="AJ125" s="153">
        <f t="shared" si="31"/>
        <v>0</v>
      </c>
      <c r="AK125" s="153">
        <f t="shared" si="32"/>
        <v>0</v>
      </c>
      <c r="AL125" s="153"/>
      <c r="AM125" s="153"/>
      <c r="AN125" s="153"/>
      <c r="AQ125" s="153"/>
      <c r="AW125" s="129">
        <f t="shared" si="33"/>
        <v>0</v>
      </c>
    </row>
    <row r="126" spans="1:49" ht="9.75" thickBot="1" x14ac:dyDescent="0.2">
      <c r="A126" s="159"/>
      <c r="B126" s="160"/>
      <c r="C126" s="160"/>
      <c r="D126" s="154" t="str">
        <f t="shared" si="34"/>
        <v xml:space="preserve"> </v>
      </c>
      <c r="E126" s="162"/>
      <c r="F126" s="262">
        <v>0</v>
      </c>
      <c r="G126" s="162">
        <v>37</v>
      </c>
      <c r="H126" s="162">
        <v>37</v>
      </c>
      <c r="I126" s="162"/>
      <c r="J126" s="164"/>
      <c r="K126" s="162"/>
      <c r="L126" s="164"/>
      <c r="M126" s="164"/>
      <c r="N126" s="162"/>
      <c r="O126" s="162"/>
      <c r="P126" s="162"/>
      <c r="Q126" s="155">
        <f>AS126</f>
        <v>0</v>
      </c>
      <c r="R126" s="155">
        <f>AT126</f>
        <v>0</v>
      </c>
      <c r="S126" s="156">
        <f>AU126</f>
        <v>0</v>
      </c>
      <c r="U126" s="129">
        <f>IF(OR(C125=5,C126=5),0,1)</f>
        <v>1</v>
      </c>
      <c r="V126" s="129">
        <f t="shared" si="25"/>
        <v>0</v>
      </c>
      <c r="W126" s="129">
        <f t="shared" si="26"/>
        <v>0</v>
      </c>
      <c r="X126" s="129">
        <f t="shared" si="35"/>
        <v>0</v>
      </c>
      <c r="Y126" s="129">
        <f t="shared" si="27"/>
        <v>65.337800000000001</v>
      </c>
      <c r="Z126" s="153">
        <f t="shared" si="19"/>
        <v>0</v>
      </c>
      <c r="AA126" s="248">
        <f t="shared" si="20"/>
        <v>0</v>
      </c>
      <c r="AB126" s="153">
        <f t="shared" si="28"/>
        <v>0</v>
      </c>
      <c r="AC126" s="248">
        <f t="shared" si="21"/>
        <v>0</v>
      </c>
      <c r="AD126" s="153">
        <f t="shared" si="22"/>
        <v>0</v>
      </c>
      <c r="AE126" s="248">
        <f t="shared" si="23"/>
        <v>0</v>
      </c>
      <c r="AF126" s="153">
        <f t="shared" si="29"/>
        <v>0</v>
      </c>
      <c r="AG126" s="248">
        <f t="shared" si="24"/>
        <v>0</v>
      </c>
      <c r="AH126" s="153">
        <f t="shared" si="30"/>
        <v>0</v>
      </c>
      <c r="AI126" s="153"/>
      <c r="AJ126" s="153">
        <f t="shared" si="31"/>
        <v>0</v>
      </c>
      <c r="AK126" s="153">
        <f t="shared" si="32"/>
        <v>0</v>
      </c>
      <c r="AL126" s="153"/>
      <c r="AM126" s="153">
        <f>AK125*W125+AK126*W126</f>
        <v>0</v>
      </c>
      <c r="AN126" s="153">
        <f>(SUM(AD125:AG125)*W125+SUM(AD126:AG126)*W126)*12*VLOOKUP(C126,JNovergang,3,1)</f>
        <v>0</v>
      </c>
      <c r="AO126" s="153">
        <f>AM126-AN126</f>
        <v>0</v>
      </c>
      <c r="AP126" s="153">
        <f>M126*(100+X126)%</f>
        <v>0</v>
      </c>
      <c r="AQ126" s="248">
        <f>ROUND(M126*F126,2)</f>
        <v>0</v>
      </c>
      <c r="AS126" s="248">
        <f>ROUND((AP126+AQ126)+AM126*(N126/12),0)</f>
        <v>0</v>
      </c>
      <c r="AT126" s="248">
        <f>ROUND(AM126*(O126/12),0)</f>
        <v>0</v>
      </c>
      <c r="AU126" s="248">
        <f>ROUND(AM126*(P126/12)*U126,0)</f>
        <v>0</v>
      </c>
      <c r="AW126" s="129">
        <f t="shared" si="33"/>
        <v>0</v>
      </c>
    </row>
    <row r="127" spans="1:49" x14ac:dyDescent="0.15">
      <c r="A127" s="157"/>
      <c r="B127" s="158"/>
      <c r="C127" s="158"/>
      <c r="D127" s="149" t="str">
        <f t="shared" si="34"/>
        <v xml:space="preserve"> </v>
      </c>
      <c r="E127" s="161"/>
      <c r="F127" s="261">
        <v>0</v>
      </c>
      <c r="G127" s="161">
        <v>37</v>
      </c>
      <c r="H127" s="161">
        <v>37</v>
      </c>
      <c r="I127" s="161"/>
      <c r="J127" s="163"/>
      <c r="K127" s="161"/>
      <c r="L127" s="163"/>
      <c r="M127" s="150"/>
      <c r="N127" s="150"/>
      <c r="O127" s="150"/>
      <c r="P127" s="150"/>
      <c r="Q127" s="151"/>
      <c r="R127" s="151"/>
      <c r="S127" s="152"/>
      <c r="V127" s="129">
        <f t="shared" si="25"/>
        <v>0</v>
      </c>
      <c r="W127" s="129">
        <f t="shared" si="26"/>
        <v>0</v>
      </c>
      <c r="X127" s="129">
        <f t="shared" si="35"/>
        <v>0</v>
      </c>
      <c r="Y127" s="129">
        <f t="shared" si="27"/>
        <v>65.337800000000001</v>
      </c>
      <c r="Z127" s="153">
        <f t="shared" si="19"/>
        <v>0</v>
      </c>
      <c r="AA127" s="248">
        <f t="shared" si="20"/>
        <v>0</v>
      </c>
      <c r="AB127" s="153">
        <f t="shared" si="28"/>
        <v>0</v>
      </c>
      <c r="AC127" s="248">
        <f t="shared" si="21"/>
        <v>0</v>
      </c>
      <c r="AD127" s="153">
        <f t="shared" si="22"/>
        <v>0</v>
      </c>
      <c r="AE127" s="248">
        <f t="shared" si="23"/>
        <v>0</v>
      </c>
      <c r="AF127" s="153">
        <f t="shared" si="29"/>
        <v>0</v>
      </c>
      <c r="AG127" s="248">
        <f t="shared" si="24"/>
        <v>0</v>
      </c>
      <c r="AH127" s="153">
        <f t="shared" si="30"/>
        <v>0</v>
      </c>
      <c r="AI127" s="153"/>
      <c r="AJ127" s="153">
        <f t="shared" si="31"/>
        <v>0</v>
      </c>
      <c r="AK127" s="153">
        <f t="shared" si="32"/>
        <v>0</v>
      </c>
      <c r="AL127" s="153"/>
      <c r="AM127" s="153"/>
      <c r="AN127" s="153"/>
      <c r="AQ127" s="153"/>
      <c r="AW127" s="129">
        <f t="shared" si="33"/>
        <v>0</v>
      </c>
    </row>
    <row r="128" spans="1:49" ht="9.75" thickBot="1" x14ac:dyDescent="0.2">
      <c r="A128" s="159"/>
      <c r="B128" s="160"/>
      <c r="C128" s="160"/>
      <c r="D128" s="154" t="str">
        <f t="shared" si="34"/>
        <v xml:space="preserve"> </v>
      </c>
      <c r="E128" s="162"/>
      <c r="F128" s="262">
        <v>0</v>
      </c>
      <c r="G128" s="162">
        <v>37</v>
      </c>
      <c r="H128" s="162">
        <v>37</v>
      </c>
      <c r="I128" s="162"/>
      <c r="J128" s="164"/>
      <c r="K128" s="162"/>
      <c r="L128" s="164"/>
      <c r="M128" s="164"/>
      <c r="N128" s="162"/>
      <c r="O128" s="162"/>
      <c r="P128" s="162"/>
      <c r="Q128" s="155">
        <f>AS128</f>
        <v>0</v>
      </c>
      <c r="R128" s="155">
        <f>AT128</f>
        <v>0</v>
      </c>
      <c r="S128" s="156">
        <f>AU128</f>
        <v>0</v>
      </c>
      <c r="U128" s="129">
        <f>IF(OR(C127=5,C128=5),0,1)</f>
        <v>1</v>
      </c>
      <c r="V128" s="129">
        <f t="shared" si="25"/>
        <v>0</v>
      </c>
      <c r="W128" s="129">
        <f t="shared" si="26"/>
        <v>0</v>
      </c>
      <c r="X128" s="129">
        <f t="shared" si="35"/>
        <v>0</v>
      </c>
      <c r="Y128" s="129">
        <f t="shared" si="27"/>
        <v>65.337800000000001</v>
      </c>
      <c r="Z128" s="153">
        <f t="shared" si="19"/>
        <v>0</v>
      </c>
      <c r="AA128" s="248">
        <f t="shared" si="20"/>
        <v>0</v>
      </c>
      <c r="AB128" s="153">
        <f t="shared" si="28"/>
        <v>0</v>
      </c>
      <c r="AC128" s="248">
        <f t="shared" si="21"/>
        <v>0</v>
      </c>
      <c r="AD128" s="153">
        <f t="shared" si="22"/>
        <v>0</v>
      </c>
      <c r="AE128" s="248">
        <f t="shared" si="23"/>
        <v>0</v>
      </c>
      <c r="AF128" s="153">
        <f t="shared" si="29"/>
        <v>0</v>
      </c>
      <c r="AG128" s="248">
        <f t="shared" si="24"/>
        <v>0</v>
      </c>
      <c r="AH128" s="153">
        <f t="shared" si="30"/>
        <v>0</v>
      </c>
      <c r="AI128" s="153"/>
      <c r="AJ128" s="153">
        <f t="shared" si="31"/>
        <v>0</v>
      </c>
      <c r="AK128" s="153">
        <f t="shared" si="32"/>
        <v>0</v>
      </c>
      <c r="AL128" s="153"/>
      <c r="AM128" s="153">
        <f>AK127*W127+AK128*W128</f>
        <v>0</v>
      </c>
      <c r="AN128" s="153">
        <f>(SUM(AD127:AG127)*W127+SUM(AD128:AG128)*W128)*12*VLOOKUP(C128,JNovergang,3,1)</f>
        <v>0</v>
      </c>
      <c r="AO128" s="153">
        <f>AM128-AN128</f>
        <v>0</v>
      </c>
      <c r="AP128" s="153">
        <f>M128*(100+X128)%</f>
        <v>0</v>
      </c>
      <c r="AQ128" s="248">
        <f>ROUND(M128*F128,2)</f>
        <v>0</v>
      </c>
      <c r="AS128" s="248">
        <f>ROUND((AP128+AQ128)+AM128*(N128/12),0)</f>
        <v>0</v>
      </c>
      <c r="AT128" s="248">
        <f>ROUND(AM128*(O128/12),0)</f>
        <v>0</v>
      </c>
      <c r="AU128" s="248">
        <f>ROUND(AM128*(P128/12)*U128,0)</f>
        <v>0</v>
      </c>
      <c r="AW128" s="129">
        <f t="shared" si="33"/>
        <v>0</v>
      </c>
    </row>
    <row r="129" spans="1:49" x14ac:dyDescent="0.15">
      <c r="A129" s="157"/>
      <c r="B129" s="158"/>
      <c r="C129" s="158"/>
      <c r="D129" s="149" t="str">
        <f t="shared" si="34"/>
        <v xml:space="preserve"> </v>
      </c>
      <c r="E129" s="161"/>
      <c r="F129" s="261">
        <v>0</v>
      </c>
      <c r="G129" s="161">
        <v>37</v>
      </c>
      <c r="H129" s="161">
        <v>37</v>
      </c>
      <c r="I129" s="161"/>
      <c r="J129" s="163"/>
      <c r="K129" s="161"/>
      <c r="L129" s="163"/>
      <c r="M129" s="150"/>
      <c r="N129" s="150"/>
      <c r="O129" s="150"/>
      <c r="P129" s="150"/>
      <c r="Q129" s="151"/>
      <c r="R129" s="151"/>
      <c r="S129" s="152"/>
      <c r="V129" s="129">
        <f t="shared" si="25"/>
        <v>0</v>
      </c>
      <c r="W129" s="129">
        <f t="shared" si="26"/>
        <v>0</v>
      </c>
      <c r="X129" s="129">
        <f t="shared" si="35"/>
        <v>0</v>
      </c>
      <c r="Y129" s="129">
        <f t="shared" si="27"/>
        <v>65.337800000000001</v>
      </c>
      <c r="Z129" s="153">
        <f t="shared" si="19"/>
        <v>0</v>
      </c>
      <c r="AA129" s="248">
        <f t="shared" si="20"/>
        <v>0</v>
      </c>
      <c r="AB129" s="153">
        <f t="shared" si="28"/>
        <v>0</v>
      </c>
      <c r="AC129" s="248">
        <f t="shared" si="21"/>
        <v>0</v>
      </c>
      <c r="AD129" s="153">
        <f t="shared" si="22"/>
        <v>0</v>
      </c>
      <c r="AE129" s="248">
        <f t="shared" si="23"/>
        <v>0</v>
      </c>
      <c r="AF129" s="153">
        <f t="shared" si="29"/>
        <v>0</v>
      </c>
      <c r="AG129" s="248">
        <f t="shared" si="24"/>
        <v>0</v>
      </c>
      <c r="AH129" s="153">
        <f t="shared" si="30"/>
        <v>0</v>
      </c>
      <c r="AI129" s="153"/>
      <c r="AJ129" s="153">
        <f t="shared" si="31"/>
        <v>0</v>
      </c>
      <c r="AK129" s="153">
        <f t="shared" si="32"/>
        <v>0</v>
      </c>
      <c r="AL129" s="153"/>
      <c r="AM129" s="153"/>
      <c r="AN129" s="153"/>
      <c r="AQ129" s="153"/>
      <c r="AW129" s="129">
        <f t="shared" si="33"/>
        <v>0</v>
      </c>
    </row>
    <row r="130" spans="1:49" ht="9.75" thickBot="1" x14ac:dyDescent="0.2">
      <c r="A130" s="159"/>
      <c r="B130" s="160"/>
      <c r="C130" s="160"/>
      <c r="D130" s="154" t="str">
        <f t="shared" si="34"/>
        <v xml:space="preserve"> </v>
      </c>
      <c r="E130" s="162"/>
      <c r="F130" s="262">
        <v>0</v>
      </c>
      <c r="G130" s="162">
        <v>37</v>
      </c>
      <c r="H130" s="162">
        <v>37</v>
      </c>
      <c r="I130" s="162"/>
      <c r="J130" s="164"/>
      <c r="K130" s="162"/>
      <c r="L130" s="164"/>
      <c r="M130" s="164"/>
      <c r="N130" s="162"/>
      <c r="O130" s="162"/>
      <c r="P130" s="162"/>
      <c r="Q130" s="155">
        <f>AS130</f>
        <v>0</v>
      </c>
      <c r="R130" s="155">
        <f>AT130</f>
        <v>0</v>
      </c>
      <c r="S130" s="156">
        <f>AU130</f>
        <v>0</v>
      </c>
      <c r="U130" s="129">
        <f>IF(OR(C129=5,C130=5),0,1)</f>
        <v>1</v>
      </c>
      <c r="V130" s="129">
        <f t="shared" si="25"/>
        <v>0</v>
      </c>
      <c r="W130" s="129">
        <f t="shared" si="26"/>
        <v>0</v>
      </c>
      <c r="X130" s="129">
        <f t="shared" si="35"/>
        <v>0</v>
      </c>
      <c r="Y130" s="129">
        <f t="shared" si="27"/>
        <v>65.337800000000001</v>
      </c>
      <c r="Z130" s="153">
        <f t="shared" si="19"/>
        <v>0</v>
      </c>
      <c r="AA130" s="248">
        <f t="shared" si="20"/>
        <v>0</v>
      </c>
      <c r="AB130" s="153">
        <f t="shared" si="28"/>
        <v>0</v>
      </c>
      <c r="AC130" s="248">
        <f t="shared" si="21"/>
        <v>0</v>
      </c>
      <c r="AD130" s="153">
        <f t="shared" si="22"/>
        <v>0</v>
      </c>
      <c r="AE130" s="248">
        <f t="shared" si="23"/>
        <v>0</v>
      </c>
      <c r="AF130" s="153">
        <f t="shared" si="29"/>
        <v>0</v>
      </c>
      <c r="AG130" s="248">
        <f t="shared" si="24"/>
        <v>0</v>
      </c>
      <c r="AH130" s="153">
        <f t="shared" si="30"/>
        <v>0</v>
      </c>
      <c r="AI130" s="153"/>
      <c r="AJ130" s="153">
        <f t="shared" si="31"/>
        <v>0</v>
      </c>
      <c r="AK130" s="153">
        <f t="shared" si="32"/>
        <v>0</v>
      </c>
      <c r="AL130" s="153"/>
      <c r="AM130" s="153">
        <f>AK129*W129+AK130*W130</f>
        <v>0</v>
      </c>
      <c r="AN130" s="153">
        <f>(SUM(AD129:AG129)*W129+SUM(AD130:AG130)*W130)*12*VLOOKUP(C130,JNovergang,3,1)</f>
        <v>0</v>
      </c>
      <c r="AO130" s="153">
        <f>AM130-AN130</f>
        <v>0</v>
      </c>
      <c r="AP130" s="153">
        <f>M130*(100+X130)%</f>
        <v>0</v>
      </c>
      <c r="AQ130" s="248">
        <f>ROUND(M130*F130,2)</f>
        <v>0</v>
      </c>
      <c r="AS130" s="248">
        <f>ROUND((AP130+AQ130)+AM130*(N130/12),0)</f>
        <v>0</v>
      </c>
      <c r="AT130" s="248">
        <f>ROUND(AM130*(O130/12),0)</f>
        <v>0</v>
      </c>
      <c r="AU130" s="248">
        <f>ROUND(AM130*(P130/12)*U130,0)</f>
        <v>0</v>
      </c>
      <c r="AW130" s="129">
        <f t="shared" si="33"/>
        <v>0</v>
      </c>
    </row>
    <row r="131" spans="1:49" x14ac:dyDescent="0.15">
      <c r="A131" s="157"/>
      <c r="B131" s="158"/>
      <c r="C131" s="158"/>
      <c r="D131" s="149" t="str">
        <f t="shared" si="34"/>
        <v xml:space="preserve"> </v>
      </c>
      <c r="E131" s="161"/>
      <c r="F131" s="261">
        <v>0</v>
      </c>
      <c r="G131" s="161">
        <v>37</v>
      </c>
      <c r="H131" s="161">
        <v>37</v>
      </c>
      <c r="I131" s="161"/>
      <c r="J131" s="163"/>
      <c r="K131" s="161"/>
      <c r="L131" s="163"/>
      <c r="M131" s="150"/>
      <c r="N131" s="150"/>
      <c r="O131" s="150"/>
      <c r="P131" s="150"/>
      <c r="Q131" s="151"/>
      <c r="R131" s="151"/>
      <c r="S131" s="152"/>
      <c r="V131" s="129">
        <f t="shared" si="25"/>
        <v>0</v>
      </c>
      <c r="W131" s="129">
        <f t="shared" si="26"/>
        <v>0</v>
      </c>
      <c r="X131" s="129">
        <f t="shared" si="35"/>
        <v>0</v>
      </c>
      <c r="Y131" s="129">
        <f t="shared" si="27"/>
        <v>65.337800000000001</v>
      </c>
      <c r="Z131" s="153">
        <f t="shared" si="19"/>
        <v>0</v>
      </c>
      <c r="AA131" s="248">
        <f t="shared" si="20"/>
        <v>0</v>
      </c>
      <c r="AB131" s="153">
        <f t="shared" si="28"/>
        <v>0</v>
      </c>
      <c r="AC131" s="248">
        <f t="shared" si="21"/>
        <v>0</v>
      </c>
      <c r="AD131" s="153">
        <f t="shared" si="22"/>
        <v>0</v>
      </c>
      <c r="AE131" s="248">
        <f t="shared" si="23"/>
        <v>0</v>
      </c>
      <c r="AF131" s="153">
        <f t="shared" si="29"/>
        <v>0</v>
      </c>
      <c r="AG131" s="248">
        <f t="shared" si="24"/>
        <v>0</v>
      </c>
      <c r="AH131" s="153">
        <f t="shared" si="30"/>
        <v>0</v>
      </c>
      <c r="AI131" s="153"/>
      <c r="AJ131" s="153">
        <f t="shared" si="31"/>
        <v>0</v>
      </c>
      <c r="AK131" s="153">
        <f t="shared" si="32"/>
        <v>0</v>
      </c>
      <c r="AL131" s="153"/>
      <c r="AM131" s="153"/>
      <c r="AN131" s="153"/>
      <c r="AQ131" s="153"/>
      <c r="AW131" s="129">
        <f t="shared" si="33"/>
        <v>0</v>
      </c>
    </row>
    <row r="132" spans="1:49" ht="9.75" thickBot="1" x14ac:dyDescent="0.2">
      <c r="A132" s="159"/>
      <c r="B132" s="160"/>
      <c r="C132" s="160"/>
      <c r="D132" s="154" t="str">
        <f t="shared" si="34"/>
        <v xml:space="preserve"> </v>
      </c>
      <c r="E132" s="162"/>
      <c r="F132" s="262">
        <v>0</v>
      </c>
      <c r="G132" s="162">
        <v>37</v>
      </c>
      <c r="H132" s="162">
        <v>37</v>
      </c>
      <c r="I132" s="162"/>
      <c r="J132" s="164"/>
      <c r="K132" s="162"/>
      <c r="L132" s="164"/>
      <c r="M132" s="164"/>
      <c r="N132" s="162"/>
      <c r="O132" s="162"/>
      <c r="P132" s="162"/>
      <c r="Q132" s="155">
        <f>AS132</f>
        <v>0</v>
      </c>
      <c r="R132" s="155">
        <f>AT132</f>
        <v>0</v>
      </c>
      <c r="S132" s="156">
        <f>AU132</f>
        <v>0</v>
      </c>
      <c r="U132" s="129">
        <f>IF(OR(C131=5,C132=5),0,1)</f>
        <v>1</v>
      </c>
      <c r="V132" s="129">
        <f t="shared" si="25"/>
        <v>0</v>
      </c>
      <c r="W132" s="129">
        <f t="shared" si="26"/>
        <v>0</v>
      </c>
      <c r="X132" s="129">
        <f t="shared" si="35"/>
        <v>0</v>
      </c>
      <c r="Y132" s="129">
        <f t="shared" si="27"/>
        <v>65.337800000000001</v>
      </c>
      <c r="Z132" s="153">
        <f t="shared" si="19"/>
        <v>0</v>
      </c>
      <c r="AA132" s="248">
        <f t="shared" si="20"/>
        <v>0</v>
      </c>
      <c r="AB132" s="153">
        <f t="shared" si="28"/>
        <v>0</v>
      </c>
      <c r="AC132" s="248">
        <f t="shared" si="21"/>
        <v>0</v>
      </c>
      <c r="AD132" s="153">
        <f t="shared" si="22"/>
        <v>0</v>
      </c>
      <c r="AE132" s="248">
        <f t="shared" si="23"/>
        <v>0</v>
      </c>
      <c r="AF132" s="153">
        <f t="shared" si="29"/>
        <v>0</v>
      </c>
      <c r="AG132" s="248">
        <f t="shared" si="24"/>
        <v>0</v>
      </c>
      <c r="AH132" s="153">
        <f t="shared" si="30"/>
        <v>0</v>
      </c>
      <c r="AI132" s="153"/>
      <c r="AJ132" s="153">
        <f t="shared" si="31"/>
        <v>0</v>
      </c>
      <c r="AK132" s="153">
        <f t="shared" si="32"/>
        <v>0</v>
      </c>
      <c r="AL132" s="153"/>
      <c r="AM132" s="153">
        <f>AK131*W131+AK132*W132</f>
        <v>0</v>
      </c>
      <c r="AN132" s="153">
        <f>(SUM(AD131:AG131)*W131+SUM(AD132:AG132)*W132)*12*VLOOKUP(C132,JNovergang,3,1)</f>
        <v>0</v>
      </c>
      <c r="AO132" s="153">
        <f>AM132-AN132</f>
        <v>0</v>
      </c>
      <c r="AP132" s="153">
        <f>M132*(100+X132)%</f>
        <v>0</v>
      </c>
      <c r="AQ132" s="248">
        <f>ROUND(M132*F132,2)</f>
        <v>0</v>
      </c>
      <c r="AS132" s="248">
        <f>ROUND((AP132+AQ132)+AM132*(N132/12),0)</f>
        <v>0</v>
      </c>
      <c r="AT132" s="248">
        <f>ROUND(AM132*(O132/12),0)</f>
        <v>0</v>
      </c>
      <c r="AU132" s="248">
        <f>ROUND(AM132*(P132/12)*U132,0)</f>
        <v>0</v>
      </c>
      <c r="AW132" s="129">
        <f t="shared" si="33"/>
        <v>0</v>
      </c>
    </row>
    <row r="133" spans="1:49" x14ac:dyDescent="0.15">
      <c r="A133" s="157"/>
      <c r="B133" s="158"/>
      <c r="C133" s="158"/>
      <c r="D133" s="149" t="str">
        <f t="shared" si="34"/>
        <v xml:space="preserve"> </v>
      </c>
      <c r="E133" s="161"/>
      <c r="F133" s="261">
        <v>0</v>
      </c>
      <c r="G133" s="161">
        <v>37</v>
      </c>
      <c r="H133" s="161">
        <v>37</v>
      </c>
      <c r="I133" s="161"/>
      <c r="J133" s="163"/>
      <c r="K133" s="161"/>
      <c r="L133" s="163"/>
      <c r="M133" s="150"/>
      <c r="N133" s="150"/>
      <c r="O133" s="150"/>
      <c r="P133" s="150"/>
      <c r="Q133" s="151"/>
      <c r="R133" s="151"/>
      <c r="S133" s="152"/>
      <c r="V133" s="129">
        <f t="shared" si="25"/>
        <v>0</v>
      </c>
      <c r="W133" s="129">
        <f t="shared" si="26"/>
        <v>0</v>
      </c>
      <c r="X133" s="129">
        <f t="shared" si="35"/>
        <v>0</v>
      </c>
      <c r="Y133" s="129">
        <f t="shared" si="27"/>
        <v>65.337800000000001</v>
      </c>
      <c r="Z133" s="153">
        <f t="shared" si="19"/>
        <v>0</v>
      </c>
      <c r="AA133" s="248">
        <f t="shared" si="20"/>
        <v>0</v>
      </c>
      <c r="AB133" s="153">
        <f t="shared" si="28"/>
        <v>0</v>
      </c>
      <c r="AC133" s="248">
        <f t="shared" si="21"/>
        <v>0</v>
      </c>
      <c r="AD133" s="153">
        <f t="shared" si="22"/>
        <v>0</v>
      </c>
      <c r="AE133" s="248">
        <f t="shared" si="23"/>
        <v>0</v>
      </c>
      <c r="AF133" s="153">
        <f t="shared" si="29"/>
        <v>0</v>
      </c>
      <c r="AG133" s="248">
        <f t="shared" si="24"/>
        <v>0</v>
      </c>
      <c r="AH133" s="153">
        <f t="shared" si="30"/>
        <v>0</v>
      </c>
      <c r="AI133" s="153"/>
      <c r="AJ133" s="153">
        <f t="shared" si="31"/>
        <v>0</v>
      </c>
      <c r="AK133" s="153">
        <f t="shared" si="32"/>
        <v>0</v>
      </c>
      <c r="AL133" s="153"/>
      <c r="AM133" s="153"/>
      <c r="AN133" s="153"/>
      <c r="AQ133" s="153"/>
      <c r="AW133" s="129">
        <f t="shared" si="33"/>
        <v>0</v>
      </c>
    </row>
    <row r="134" spans="1:49" ht="9.75" thickBot="1" x14ac:dyDescent="0.2">
      <c r="A134" s="159"/>
      <c r="B134" s="160"/>
      <c r="C134" s="160"/>
      <c r="D134" s="154" t="str">
        <f t="shared" si="34"/>
        <v xml:space="preserve"> </v>
      </c>
      <c r="E134" s="162"/>
      <c r="F134" s="262">
        <v>0</v>
      </c>
      <c r="G134" s="162">
        <v>37</v>
      </c>
      <c r="H134" s="162">
        <v>37</v>
      </c>
      <c r="I134" s="162"/>
      <c r="J134" s="164"/>
      <c r="K134" s="162"/>
      <c r="L134" s="164"/>
      <c r="M134" s="164"/>
      <c r="N134" s="162"/>
      <c r="O134" s="162"/>
      <c r="P134" s="162"/>
      <c r="Q134" s="155">
        <f>AS134</f>
        <v>0</v>
      </c>
      <c r="R134" s="155">
        <f>AT134</f>
        <v>0</v>
      </c>
      <c r="S134" s="156">
        <f>AU134</f>
        <v>0</v>
      </c>
      <c r="U134" s="129">
        <f>IF(OR(C133=5,C134=5),0,1)</f>
        <v>1</v>
      </c>
      <c r="V134" s="129">
        <f t="shared" si="25"/>
        <v>0</v>
      </c>
      <c r="W134" s="129">
        <f t="shared" si="26"/>
        <v>0</v>
      </c>
      <c r="X134" s="129">
        <f t="shared" si="35"/>
        <v>0</v>
      </c>
      <c r="Y134" s="129">
        <f t="shared" si="27"/>
        <v>65.337800000000001</v>
      </c>
      <c r="Z134" s="153">
        <f t="shared" si="19"/>
        <v>0</v>
      </c>
      <c r="AA134" s="248">
        <f t="shared" si="20"/>
        <v>0</v>
      </c>
      <c r="AB134" s="153">
        <f t="shared" si="28"/>
        <v>0</v>
      </c>
      <c r="AC134" s="248">
        <f t="shared" si="21"/>
        <v>0</v>
      </c>
      <c r="AD134" s="153">
        <f t="shared" si="22"/>
        <v>0</v>
      </c>
      <c r="AE134" s="248">
        <f t="shared" si="23"/>
        <v>0</v>
      </c>
      <c r="AF134" s="153">
        <f t="shared" si="29"/>
        <v>0</v>
      </c>
      <c r="AG134" s="248">
        <f t="shared" si="24"/>
        <v>0</v>
      </c>
      <c r="AH134" s="153">
        <f t="shared" si="30"/>
        <v>0</v>
      </c>
      <c r="AI134" s="153"/>
      <c r="AJ134" s="153">
        <f t="shared" si="31"/>
        <v>0</v>
      </c>
      <c r="AK134" s="153">
        <f t="shared" si="32"/>
        <v>0</v>
      </c>
      <c r="AL134" s="153"/>
      <c r="AM134" s="153">
        <f>AK133*W133+AK134*W134</f>
        <v>0</v>
      </c>
      <c r="AN134" s="153">
        <f>(SUM(AD133:AG133)*W133+SUM(AD134:AG134)*W134)*12*VLOOKUP(C134,JNovergang,3,1)</f>
        <v>0</v>
      </c>
      <c r="AO134" s="153">
        <f>AM134-AN134</f>
        <v>0</v>
      </c>
      <c r="AP134" s="153">
        <f>M134*(100+X134)%</f>
        <v>0</v>
      </c>
      <c r="AQ134" s="248">
        <f>ROUND(M134*F134,2)</f>
        <v>0</v>
      </c>
      <c r="AS134" s="248">
        <f>ROUND((AP134+AQ134)+AM134*(N134/12),0)</f>
        <v>0</v>
      </c>
      <c r="AT134" s="248">
        <f>ROUND(AM134*(O134/12),0)</f>
        <v>0</v>
      </c>
      <c r="AU134" s="248">
        <f>ROUND(AM134*(P134/12)*U134,0)</f>
        <v>0</v>
      </c>
      <c r="AW134" s="129">
        <f t="shared" si="33"/>
        <v>0</v>
      </c>
    </row>
    <row r="135" spans="1:49" x14ac:dyDescent="0.15">
      <c r="A135" s="157"/>
      <c r="B135" s="158"/>
      <c r="C135" s="158"/>
      <c r="D135" s="149" t="str">
        <f t="shared" si="34"/>
        <v xml:space="preserve"> </v>
      </c>
      <c r="E135" s="161"/>
      <c r="F135" s="261">
        <v>0</v>
      </c>
      <c r="G135" s="161">
        <v>37</v>
      </c>
      <c r="H135" s="161">
        <v>37</v>
      </c>
      <c r="I135" s="161"/>
      <c r="J135" s="163"/>
      <c r="K135" s="161"/>
      <c r="L135" s="163"/>
      <c r="M135" s="150"/>
      <c r="N135" s="150"/>
      <c r="O135" s="150"/>
      <c r="P135" s="150"/>
      <c r="Q135" s="151"/>
      <c r="R135" s="151"/>
      <c r="S135" s="152"/>
      <c r="V135" s="129">
        <f t="shared" si="25"/>
        <v>0</v>
      </c>
      <c r="W135" s="129">
        <f t="shared" si="26"/>
        <v>0</v>
      </c>
      <c r="X135" s="129">
        <f t="shared" si="35"/>
        <v>0</v>
      </c>
      <c r="Y135" s="129">
        <f t="shared" si="27"/>
        <v>65.337800000000001</v>
      </c>
      <c r="Z135" s="153">
        <f t="shared" si="19"/>
        <v>0</v>
      </c>
      <c r="AA135" s="248">
        <f t="shared" si="20"/>
        <v>0</v>
      </c>
      <c r="AB135" s="153">
        <f t="shared" si="28"/>
        <v>0</v>
      </c>
      <c r="AC135" s="248">
        <f t="shared" si="21"/>
        <v>0</v>
      </c>
      <c r="AD135" s="153">
        <f t="shared" si="22"/>
        <v>0</v>
      </c>
      <c r="AE135" s="248">
        <f t="shared" si="23"/>
        <v>0</v>
      </c>
      <c r="AF135" s="153">
        <f t="shared" si="29"/>
        <v>0</v>
      </c>
      <c r="AG135" s="248">
        <f t="shared" si="24"/>
        <v>0</v>
      </c>
      <c r="AH135" s="153">
        <f t="shared" si="30"/>
        <v>0</v>
      </c>
      <c r="AI135" s="153"/>
      <c r="AJ135" s="153">
        <f t="shared" si="31"/>
        <v>0</v>
      </c>
      <c r="AK135" s="153">
        <f t="shared" si="32"/>
        <v>0</v>
      </c>
      <c r="AL135" s="153"/>
      <c r="AM135" s="153"/>
      <c r="AN135" s="153"/>
      <c r="AQ135" s="153"/>
      <c r="AW135" s="129">
        <f t="shared" si="33"/>
        <v>0</v>
      </c>
    </row>
    <row r="136" spans="1:49" ht="9.75" thickBot="1" x14ac:dyDescent="0.2">
      <c r="A136" s="159"/>
      <c r="B136" s="160"/>
      <c r="C136" s="160"/>
      <c r="D136" s="154" t="str">
        <f t="shared" si="34"/>
        <v xml:space="preserve"> </v>
      </c>
      <c r="E136" s="162"/>
      <c r="F136" s="262">
        <v>0</v>
      </c>
      <c r="G136" s="162">
        <v>37</v>
      </c>
      <c r="H136" s="162">
        <v>37</v>
      </c>
      <c r="I136" s="162"/>
      <c r="J136" s="164"/>
      <c r="K136" s="162"/>
      <c r="L136" s="164"/>
      <c r="M136" s="164"/>
      <c r="N136" s="162"/>
      <c r="O136" s="162"/>
      <c r="P136" s="162"/>
      <c r="Q136" s="155">
        <f>AS136</f>
        <v>0</v>
      </c>
      <c r="R136" s="155">
        <f>AT136</f>
        <v>0</v>
      </c>
      <c r="S136" s="156">
        <f>AU136</f>
        <v>0</v>
      </c>
      <c r="U136" s="129">
        <f>IF(OR(C135=5,C136=5),0,1)</f>
        <v>1</v>
      </c>
      <c r="V136" s="129">
        <f t="shared" si="25"/>
        <v>0</v>
      </c>
      <c r="W136" s="129">
        <f t="shared" si="26"/>
        <v>0</v>
      </c>
      <c r="X136" s="129">
        <f t="shared" si="35"/>
        <v>0</v>
      </c>
      <c r="Y136" s="129">
        <f t="shared" si="27"/>
        <v>65.337800000000001</v>
      </c>
      <c r="Z136" s="153">
        <f t="shared" si="19"/>
        <v>0</v>
      </c>
      <c r="AA136" s="248">
        <f t="shared" si="20"/>
        <v>0</v>
      </c>
      <c r="AB136" s="153">
        <f t="shared" si="28"/>
        <v>0</v>
      </c>
      <c r="AC136" s="248">
        <f t="shared" si="21"/>
        <v>0</v>
      </c>
      <c r="AD136" s="153">
        <f t="shared" si="22"/>
        <v>0</v>
      </c>
      <c r="AE136" s="248">
        <f t="shared" si="23"/>
        <v>0</v>
      </c>
      <c r="AF136" s="153">
        <f t="shared" si="29"/>
        <v>0</v>
      </c>
      <c r="AG136" s="248">
        <f t="shared" si="24"/>
        <v>0</v>
      </c>
      <c r="AH136" s="153">
        <f t="shared" si="30"/>
        <v>0</v>
      </c>
      <c r="AI136" s="153"/>
      <c r="AJ136" s="153">
        <f t="shared" si="31"/>
        <v>0</v>
      </c>
      <c r="AK136" s="153">
        <f t="shared" si="32"/>
        <v>0</v>
      </c>
      <c r="AL136" s="153"/>
      <c r="AM136" s="153">
        <f>AK135*W135+AK136*W136</f>
        <v>0</v>
      </c>
      <c r="AN136" s="153">
        <f>(SUM(AD135:AG135)*W135+SUM(AD136:AG136)*W136)*12*VLOOKUP(C136,JNovergang,3,1)</f>
        <v>0</v>
      </c>
      <c r="AO136" s="153">
        <f>AM136-AN136</f>
        <v>0</v>
      </c>
      <c r="AP136" s="153">
        <f>M136*(100+X136)%</f>
        <v>0</v>
      </c>
      <c r="AQ136" s="248">
        <f>ROUND(M136*F136,2)</f>
        <v>0</v>
      </c>
      <c r="AS136" s="248">
        <f>ROUND((AP136+AQ136)+AM136*(N136/12),0)</f>
        <v>0</v>
      </c>
      <c r="AT136" s="248">
        <f>ROUND(AM136*(O136/12),0)</f>
        <v>0</v>
      </c>
      <c r="AU136" s="248">
        <f>ROUND(AM136*(P136/12)*U136,0)</f>
        <v>0</v>
      </c>
      <c r="AW136" s="129">
        <f t="shared" si="33"/>
        <v>0</v>
      </c>
    </row>
    <row r="137" spans="1:49" x14ac:dyDescent="0.15">
      <c r="A137" s="157"/>
      <c r="B137" s="158"/>
      <c r="C137" s="158"/>
      <c r="D137" s="149" t="str">
        <f t="shared" si="34"/>
        <v xml:space="preserve"> </v>
      </c>
      <c r="E137" s="161"/>
      <c r="F137" s="261">
        <v>0</v>
      </c>
      <c r="G137" s="161">
        <v>37</v>
      </c>
      <c r="H137" s="161">
        <v>37</v>
      </c>
      <c r="I137" s="161"/>
      <c r="J137" s="163"/>
      <c r="K137" s="161"/>
      <c r="L137" s="163"/>
      <c r="M137" s="150"/>
      <c r="N137" s="150"/>
      <c r="O137" s="150"/>
      <c r="P137" s="150"/>
      <c r="Q137" s="151"/>
      <c r="R137" s="151"/>
      <c r="S137" s="152"/>
      <c r="V137" s="129">
        <f t="shared" si="25"/>
        <v>0</v>
      </c>
      <c r="W137" s="129">
        <f t="shared" si="26"/>
        <v>0</v>
      </c>
      <c r="X137" s="129">
        <f t="shared" si="35"/>
        <v>0</v>
      </c>
      <c r="Y137" s="129">
        <f t="shared" si="27"/>
        <v>65.337800000000001</v>
      </c>
      <c r="Z137" s="153">
        <f t="shared" si="19"/>
        <v>0</v>
      </c>
      <c r="AA137" s="248">
        <f t="shared" si="20"/>
        <v>0</v>
      </c>
      <c r="AB137" s="153">
        <f t="shared" si="28"/>
        <v>0</v>
      </c>
      <c r="AC137" s="248">
        <f t="shared" si="21"/>
        <v>0</v>
      </c>
      <c r="AD137" s="153">
        <f t="shared" si="22"/>
        <v>0</v>
      </c>
      <c r="AE137" s="248">
        <f t="shared" si="23"/>
        <v>0</v>
      </c>
      <c r="AF137" s="153">
        <f t="shared" si="29"/>
        <v>0</v>
      </c>
      <c r="AG137" s="248">
        <f t="shared" si="24"/>
        <v>0</v>
      </c>
      <c r="AH137" s="153">
        <f t="shared" si="30"/>
        <v>0</v>
      </c>
      <c r="AI137" s="153"/>
      <c r="AJ137" s="153">
        <f t="shared" si="31"/>
        <v>0</v>
      </c>
      <c r="AK137" s="153">
        <f t="shared" si="32"/>
        <v>0</v>
      </c>
      <c r="AL137" s="153"/>
      <c r="AM137" s="153"/>
      <c r="AN137" s="153"/>
      <c r="AQ137" s="153"/>
      <c r="AW137" s="129">
        <f t="shared" si="33"/>
        <v>0</v>
      </c>
    </row>
    <row r="138" spans="1:49" ht="9.75" thickBot="1" x14ac:dyDescent="0.2">
      <c r="A138" s="159"/>
      <c r="B138" s="160"/>
      <c r="C138" s="160"/>
      <c r="D138" s="154" t="str">
        <f t="shared" si="34"/>
        <v xml:space="preserve"> </v>
      </c>
      <c r="E138" s="162"/>
      <c r="F138" s="262">
        <v>0</v>
      </c>
      <c r="G138" s="162">
        <v>37</v>
      </c>
      <c r="H138" s="162">
        <v>37</v>
      </c>
      <c r="I138" s="162"/>
      <c r="J138" s="164"/>
      <c r="K138" s="162"/>
      <c r="L138" s="164"/>
      <c r="M138" s="164"/>
      <c r="N138" s="162"/>
      <c r="O138" s="162"/>
      <c r="P138" s="162"/>
      <c r="Q138" s="155">
        <f>AS138</f>
        <v>0</v>
      </c>
      <c r="R138" s="155">
        <f>AT138</f>
        <v>0</v>
      </c>
      <c r="S138" s="156">
        <f>AU138</f>
        <v>0</v>
      </c>
      <c r="U138" s="129">
        <f>IF(OR(C137=5,C138=5),0,1)</f>
        <v>1</v>
      </c>
      <c r="V138" s="129">
        <f t="shared" si="25"/>
        <v>0</v>
      </c>
      <c r="W138" s="129">
        <f t="shared" si="26"/>
        <v>0</v>
      </c>
      <c r="X138" s="129">
        <f t="shared" si="35"/>
        <v>0</v>
      </c>
      <c r="Y138" s="129">
        <f t="shared" si="27"/>
        <v>65.337800000000001</v>
      </c>
      <c r="Z138" s="153">
        <f t="shared" si="19"/>
        <v>0</v>
      </c>
      <c r="AA138" s="248">
        <f t="shared" si="20"/>
        <v>0</v>
      </c>
      <c r="AB138" s="153">
        <f t="shared" si="28"/>
        <v>0</v>
      </c>
      <c r="AC138" s="248">
        <f t="shared" si="21"/>
        <v>0</v>
      </c>
      <c r="AD138" s="153">
        <f t="shared" si="22"/>
        <v>0</v>
      </c>
      <c r="AE138" s="248">
        <f t="shared" si="23"/>
        <v>0</v>
      </c>
      <c r="AF138" s="153">
        <f t="shared" si="29"/>
        <v>0</v>
      </c>
      <c r="AG138" s="248">
        <f t="shared" si="24"/>
        <v>0</v>
      </c>
      <c r="AH138" s="153">
        <f t="shared" si="30"/>
        <v>0</v>
      </c>
      <c r="AI138" s="153"/>
      <c r="AJ138" s="153">
        <f t="shared" si="31"/>
        <v>0</v>
      </c>
      <c r="AK138" s="153">
        <f t="shared" si="32"/>
        <v>0</v>
      </c>
      <c r="AL138" s="153"/>
      <c r="AM138" s="153">
        <f>AK137*W137+AK138*W138</f>
        <v>0</v>
      </c>
      <c r="AN138" s="153">
        <f>(SUM(AD137:AG137)*W137+SUM(AD138:AG138)*W138)*12*VLOOKUP(C138,JNovergang,3,1)</f>
        <v>0</v>
      </c>
      <c r="AO138" s="153">
        <f>AM138-AN138</f>
        <v>0</v>
      </c>
      <c r="AP138" s="153">
        <f>M138*(100+X138)%</f>
        <v>0</v>
      </c>
      <c r="AQ138" s="248">
        <f>ROUND(M138*F138,2)</f>
        <v>0</v>
      </c>
      <c r="AS138" s="248">
        <f>ROUND((AP138+AQ138)+AM138*(N138/12),0)</f>
        <v>0</v>
      </c>
      <c r="AT138" s="248">
        <f>ROUND(AM138*(O138/12),0)</f>
        <v>0</v>
      </c>
      <c r="AU138" s="248">
        <f>ROUND(AM138*(P138/12)*U138,0)</f>
        <v>0</v>
      </c>
      <c r="AW138" s="129">
        <f t="shared" si="33"/>
        <v>0</v>
      </c>
    </row>
    <row r="139" spans="1:49" x14ac:dyDescent="0.15">
      <c r="A139" s="157"/>
      <c r="B139" s="158"/>
      <c r="C139" s="158"/>
      <c r="D139" s="149" t="str">
        <f t="shared" si="34"/>
        <v xml:space="preserve"> </v>
      </c>
      <c r="E139" s="161"/>
      <c r="F139" s="261">
        <v>0</v>
      </c>
      <c r="G139" s="161">
        <v>37</v>
      </c>
      <c r="H139" s="161">
        <v>37</v>
      </c>
      <c r="I139" s="161"/>
      <c r="J139" s="163"/>
      <c r="K139" s="161"/>
      <c r="L139" s="163"/>
      <c r="M139" s="150"/>
      <c r="N139" s="150"/>
      <c r="O139" s="150"/>
      <c r="P139" s="150"/>
      <c r="Q139" s="151"/>
      <c r="R139" s="151"/>
      <c r="S139" s="152"/>
      <c r="V139" s="129">
        <f t="shared" si="25"/>
        <v>0</v>
      </c>
      <c r="W139" s="129">
        <f t="shared" si="26"/>
        <v>0</v>
      </c>
      <c r="X139" s="129">
        <f t="shared" si="35"/>
        <v>0</v>
      </c>
      <c r="Y139" s="129">
        <f t="shared" si="27"/>
        <v>65.337800000000001</v>
      </c>
      <c r="Z139" s="153">
        <f t="shared" si="19"/>
        <v>0</v>
      </c>
      <c r="AA139" s="248">
        <f t="shared" si="20"/>
        <v>0</v>
      </c>
      <c r="AB139" s="153">
        <f t="shared" si="28"/>
        <v>0</v>
      </c>
      <c r="AC139" s="248">
        <f t="shared" si="21"/>
        <v>0</v>
      </c>
      <c r="AD139" s="153">
        <f t="shared" si="22"/>
        <v>0</v>
      </c>
      <c r="AE139" s="248">
        <f t="shared" si="23"/>
        <v>0</v>
      </c>
      <c r="AF139" s="153">
        <f t="shared" si="29"/>
        <v>0</v>
      </c>
      <c r="AG139" s="248">
        <f t="shared" si="24"/>
        <v>0</v>
      </c>
      <c r="AH139" s="153">
        <f t="shared" si="30"/>
        <v>0</v>
      </c>
      <c r="AI139" s="153"/>
      <c r="AJ139" s="153">
        <f t="shared" si="31"/>
        <v>0</v>
      </c>
      <c r="AK139" s="153">
        <f t="shared" si="32"/>
        <v>0</v>
      </c>
      <c r="AL139" s="153"/>
      <c r="AM139" s="153"/>
      <c r="AN139" s="153"/>
      <c r="AQ139" s="153"/>
      <c r="AW139" s="129">
        <f t="shared" si="33"/>
        <v>0</v>
      </c>
    </row>
    <row r="140" spans="1:49" ht="9.75" thickBot="1" x14ac:dyDescent="0.2">
      <c r="A140" s="159"/>
      <c r="B140" s="160"/>
      <c r="C140" s="160"/>
      <c r="D140" s="154" t="str">
        <f t="shared" si="34"/>
        <v xml:space="preserve"> </v>
      </c>
      <c r="E140" s="162"/>
      <c r="F140" s="262">
        <v>0</v>
      </c>
      <c r="G140" s="162">
        <v>37</v>
      </c>
      <c r="H140" s="162">
        <v>37</v>
      </c>
      <c r="I140" s="162"/>
      <c r="J140" s="164"/>
      <c r="K140" s="162"/>
      <c r="L140" s="164"/>
      <c r="M140" s="164"/>
      <c r="N140" s="162"/>
      <c r="O140" s="162"/>
      <c r="P140" s="162"/>
      <c r="Q140" s="155">
        <f>AS140</f>
        <v>0</v>
      </c>
      <c r="R140" s="155">
        <f>AT140</f>
        <v>0</v>
      </c>
      <c r="S140" s="156">
        <f>AU140</f>
        <v>0</v>
      </c>
      <c r="U140" s="129">
        <f>IF(OR(C139=5,C140=5),0,1)</f>
        <v>1</v>
      </c>
      <c r="V140" s="129">
        <f t="shared" si="25"/>
        <v>0</v>
      </c>
      <c r="W140" s="129">
        <f t="shared" si="26"/>
        <v>0</v>
      </c>
      <c r="X140" s="129">
        <f t="shared" si="35"/>
        <v>0</v>
      </c>
      <c r="Y140" s="129">
        <f t="shared" si="27"/>
        <v>65.337800000000001</v>
      </c>
      <c r="Z140" s="153">
        <f t="shared" si="19"/>
        <v>0</v>
      </c>
      <c r="AA140" s="248">
        <f t="shared" si="20"/>
        <v>0</v>
      </c>
      <c r="AB140" s="153">
        <f t="shared" si="28"/>
        <v>0</v>
      </c>
      <c r="AC140" s="248">
        <f t="shared" si="21"/>
        <v>0</v>
      </c>
      <c r="AD140" s="153">
        <f t="shared" si="22"/>
        <v>0</v>
      </c>
      <c r="AE140" s="248">
        <f t="shared" si="23"/>
        <v>0</v>
      </c>
      <c r="AF140" s="153">
        <f t="shared" si="29"/>
        <v>0</v>
      </c>
      <c r="AG140" s="248">
        <f t="shared" si="24"/>
        <v>0</v>
      </c>
      <c r="AH140" s="153">
        <f t="shared" si="30"/>
        <v>0</v>
      </c>
      <c r="AI140" s="153"/>
      <c r="AJ140" s="153">
        <f t="shared" si="31"/>
        <v>0</v>
      </c>
      <c r="AK140" s="153">
        <f t="shared" si="32"/>
        <v>0</v>
      </c>
      <c r="AL140" s="153"/>
      <c r="AM140" s="153">
        <f>AK139*W139+AK140*W140</f>
        <v>0</v>
      </c>
      <c r="AN140" s="153">
        <f>(SUM(AD139:AG139)*W139+SUM(AD140:AG140)*W140)*12*VLOOKUP(C140,JNovergang,3,1)</f>
        <v>0</v>
      </c>
      <c r="AO140" s="153">
        <f>AM140-AN140</f>
        <v>0</v>
      </c>
      <c r="AP140" s="153">
        <f>M140*(100+X140)%</f>
        <v>0</v>
      </c>
      <c r="AQ140" s="248">
        <f>ROUND(M140*F140,2)</f>
        <v>0</v>
      </c>
      <c r="AS140" s="248">
        <f>ROUND((AP140+AQ140)+AM140*(N140/12),0)</f>
        <v>0</v>
      </c>
      <c r="AT140" s="248">
        <f>ROUND(AM140*(O140/12),0)</f>
        <v>0</v>
      </c>
      <c r="AU140" s="248">
        <f>ROUND(AM140*(P140/12)*U140,0)</f>
        <v>0</v>
      </c>
      <c r="AW140" s="129">
        <f t="shared" si="33"/>
        <v>0</v>
      </c>
    </row>
    <row r="141" spans="1:49" x14ac:dyDescent="0.15">
      <c r="A141" s="157"/>
      <c r="B141" s="158"/>
      <c r="C141" s="158"/>
      <c r="D141" s="149" t="str">
        <f t="shared" si="34"/>
        <v xml:space="preserve"> </v>
      </c>
      <c r="E141" s="161"/>
      <c r="F141" s="261">
        <v>0</v>
      </c>
      <c r="G141" s="161">
        <v>37</v>
      </c>
      <c r="H141" s="161">
        <v>37</v>
      </c>
      <c r="I141" s="161"/>
      <c r="J141" s="163"/>
      <c r="K141" s="161"/>
      <c r="L141" s="163"/>
      <c r="M141" s="150"/>
      <c r="N141" s="150"/>
      <c r="O141" s="150"/>
      <c r="P141" s="150"/>
      <c r="Q141" s="151"/>
      <c r="R141" s="151"/>
      <c r="S141" s="152"/>
      <c r="V141" s="129">
        <f t="shared" si="25"/>
        <v>0</v>
      </c>
      <c r="W141" s="129">
        <f t="shared" si="26"/>
        <v>0</v>
      </c>
      <c r="X141" s="129">
        <f t="shared" si="35"/>
        <v>0</v>
      </c>
      <c r="Y141" s="129">
        <f t="shared" si="27"/>
        <v>65.337800000000001</v>
      </c>
      <c r="Z141" s="153">
        <f t="shared" si="19"/>
        <v>0</v>
      </c>
      <c r="AA141" s="248">
        <f t="shared" si="20"/>
        <v>0</v>
      </c>
      <c r="AB141" s="153">
        <f t="shared" si="28"/>
        <v>0</v>
      </c>
      <c r="AC141" s="248">
        <f t="shared" si="21"/>
        <v>0</v>
      </c>
      <c r="AD141" s="153">
        <f t="shared" si="22"/>
        <v>0</v>
      </c>
      <c r="AE141" s="248">
        <f t="shared" si="23"/>
        <v>0</v>
      </c>
      <c r="AF141" s="153">
        <f t="shared" si="29"/>
        <v>0</v>
      </c>
      <c r="AG141" s="248">
        <f t="shared" si="24"/>
        <v>0</v>
      </c>
      <c r="AH141" s="153">
        <f t="shared" si="30"/>
        <v>0</v>
      </c>
      <c r="AI141" s="153"/>
      <c r="AJ141" s="153">
        <f t="shared" si="31"/>
        <v>0</v>
      </c>
      <c r="AK141" s="153">
        <f t="shared" si="32"/>
        <v>0</v>
      </c>
      <c r="AL141" s="153"/>
      <c r="AM141" s="153"/>
      <c r="AN141" s="153"/>
      <c r="AQ141" s="153"/>
      <c r="AW141" s="129">
        <f t="shared" si="33"/>
        <v>0</v>
      </c>
    </row>
    <row r="142" spans="1:49" ht="9.75" thickBot="1" x14ac:dyDescent="0.2">
      <c r="A142" s="159"/>
      <c r="B142" s="160"/>
      <c r="C142" s="160"/>
      <c r="D142" s="154" t="str">
        <f t="shared" si="34"/>
        <v xml:space="preserve"> </v>
      </c>
      <c r="E142" s="162"/>
      <c r="F142" s="262">
        <v>0</v>
      </c>
      <c r="G142" s="162">
        <v>37</v>
      </c>
      <c r="H142" s="162">
        <v>37</v>
      </c>
      <c r="I142" s="162"/>
      <c r="J142" s="164"/>
      <c r="K142" s="162"/>
      <c r="L142" s="164"/>
      <c r="M142" s="164"/>
      <c r="N142" s="162"/>
      <c r="O142" s="162"/>
      <c r="P142" s="162"/>
      <c r="Q142" s="155">
        <f>AS142</f>
        <v>0</v>
      </c>
      <c r="R142" s="155">
        <f>AT142</f>
        <v>0</v>
      </c>
      <c r="S142" s="156">
        <f>AU142</f>
        <v>0</v>
      </c>
      <c r="U142" s="129">
        <f>IF(OR(C141=5,C142=5),0,1)</f>
        <v>1</v>
      </c>
      <c r="V142" s="129">
        <f t="shared" si="25"/>
        <v>0</v>
      </c>
      <c r="W142" s="129">
        <f t="shared" si="26"/>
        <v>0</v>
      </c>
      <c r="X142" s="129">
        <f t="shared" si="35"/>
        <v>0</v>
      </c>
      <c r="Y142" s="129">
        <f t="shared" si="27"/>
        <v>65.337800000000001</v>
      </c>
      <c r="Z142" s="153">
        <f t="shared" si="19"/>
        <v>0</v>
      </c>
      <c r="AA142" s="248">
        <f t="shared" si="20"/>
        <v>0</v>
      </c>
      <c r="AB142" s="153">
        <f t="shared" si="28"/>
        <v>0</v>
      </c>
      <c r="AC142" s="248">
        <f t="shared" si="21"/>
        <v>0</v>
      </c>
      <c r="AD142" s="153">
        <f t="shared" si="22"/>
        <v>0</v>
      </c>
      <c r="AE142" s="248">
        <f t="shared" si="23"/>
        <v>0</v>
      </c>
      <c r="AF142" s="153">
        <f t="shared" si="29"/>
        <v>0</v>
      </c>
      <c r="AG142" s="248">
        <f t="shared" si="24"/>
        <v>0</v>
      </c>
      <c r="AH142" s="153">
        <f t="shared" si="30"/>
        <v>0</v>
      </c>
      <c r="AI142" s="153"/>
      <c r="AJ142" s="153">
        <f t="shared" si="31"/>
        <v>0</v>
      </c>
      <c r="AK142" s="153">
        <f t="shared" si="32"/>
        <v>0</v>
      </c>
      <c r="AL142" s="153"/>
      <c r="AM142" s="153">
        <f>AK141*W141+AK142*W142</f>
        <v>0</v>
      </c>
      <c r="AN142" s="153">
        <f>(SUM(AD141:AG141)*W141+SUM(AD142:AG142)*W142)*12*VLOOKUP(C142,JNovergang,3,1)</f>
        <v>0</v>
      </c>
      <c r="AO142" s="153">
        <f>AM142-AN142</f>
        <v>0</v>
      </c>
      <c r="AP142" s="153">
        <f>M142*(100+X142)%</f>
        <v>0</v>
      </c>
      <c r="AQ142" s="248">
        <f>ROUND(M142*F142,2)</f>
        <v>0</v>
      </c>
      <c r="AS142" s="248">
        <f>ROUND((AP142+AQ142)+AM142*(N142/12),0)</f>
        <v>0</v>
      </c>
      <c r="AT142" s="248">
        <f>ROUND(AM142*(O142/12),0)</f>
        <v>0</v>
      </c>
      <c r="AU142" s="248">
        <f>ROUND(AM142*(P142/12)*U142,0)</f>
        <v>0</v>
      </c>
      <c r="AW142" s="129">
        <f t="shared" si="33"/>
        <v>0</v>
      </c>
    </row>
    <row r="143" spans="1:49" x14ac:dyDescent="0.15">
      <c r="A143" s="157"/>
      <c r="B143" s="158"/>
      <c r="C143" s="158"/>
      <c r="D143" s="149" t="str">
        <f t="shared" si="34"/>
        <v xml:space="preserve"> </v>
      </c>
      <c r="E143" s="161"/>
      <c r="F143" s="261">
        <v>0</v>
      </c>
      <c r="G143" s="161">
        <v>37</v>
      </c>
      <c r="H143" s="161">
        <v>37</v>
      </c>
      <c r="I143" s="161"/>
      <c r="J143" s="163"/>
      <c r="K143" s="161"/>
      <c r="L143" s="163"/>
      <c r="M143" s="150"/>
      <c r="N143" s="150"/>
      <c r="O143" s="150"/>
      <c r="P143" s="150"/>
      <c r="Q143" s="151"/>
      <c r="R143" s="151"/>
      <c r="S143" s="152"/>
      <c r="V143" s="129">
        <f t="shared" si="25"/>
        <v>0</v>
      </c>
      <c r="W143" s="129">
        <f t="shared" si="26"/>
        <v>0</v>
      </c>
      <c r="X143" s="129">
        <f t="shared" si="35"/>
        <v>0</v>
      </c>
      <c r="Y143" s="129">
        <f t="shared" si="27"/>
        <v>65.337800000000001</v>
      </c>
      <c r="Z143" s="153">
        <f t="shared" si="19"/>
        <v>0</v>
      </c>
      <c r="AA143" s="248">
        <f t="shared" si="20"/>
        <v>0</v>
      </c>
      <c r="AB143" s="153">
        <f t="shared" si="28"/>
        <v>0</v>
      </c>
      <c r="AC143" s="248">
        <f t="shared" si="21"/>
        <v>0</v>
      </c>
      <c r="AD143" s="153">
        <f t="shared" si="22"/>
        <v>0</v>
      </c>
      <c r="AE143" s="248">
        <f t="shared" si="23"/>
        <v>0</v>
      </c>
      <c r="AF143" s="153">
        <f t="shared" si="29"/>
        <v>0</v>
      </c>
      <c r="AG143" s="248">
        <f t="shared" si="24"/>
        <v>0</v>
      </c>
      <c r="AH143" s="153">
        <f t="shared" si="30"/>
        <v>0</v>
      </c>
      <c r="AI143" s="153"/>
      <c r="AJ143" s="153">
        <f t="shared" si="31"/>
        <v>0</v>
      </c>
      <c r="AK143" s="153">
        <f t="shared" si="32"/>
        <v>0</v>
      </c>
      <c r="AL143" s="153"/>
      <c r="AM143" s="153"/>
      <c r="AN143" s="153"/>
      <c r="AQ143" s="153"/>
      <c r="AW143" s="129">
        <f t="shared" si="33"/>
        <v>0</v>
      </c>
    </row>
    <row r="144" spans="1:49" ht="9.75" thickBot="1" x14ac:dyDescent="0.2">
      <c r="A144" s="159"/>
      <c r="B144" s="160"/>
      <c r="C144" s="160"/>
      <c r="D144" s="154" t="str">
        <f t="shared" si="34"/>
        <v xml:space="preserve"> </v>
      </c>
      <c r="E144" s="162"/>
      <c r="F144" s="262">
        <v>0</v>
      </c>
      <c r="G144" s="162">
        <v>37</v>
      </c>
      <c r="H144" s="162">
        <v>37</v>
      </c>
      <c r="I144" s="162"/>
      <c r="J144" s="164"/>
      <c r="K144" s="162"/>
      <c r="L144" s="164"/>
      <c r="M144" s="164"/>
      <c r="N144" s="162"/>
      <c r="O144" s="162"/>
      <c r="P144" s="162"/>
      <c r="Q144" s="155">
        <f>AS144</f>
        <v>0</v>
      </c>
      <c r="R144" s="155">
        <f>AT144</f>
        <v>0</v>
      </c>
      <c r="S144" s="156">
        <f>AU144</f>
        <v>0</v>
      </c>
      <c r="U144" s="129">
        <f>IF(OR(C143=5,C144=5),0,1)</f>
        <v>1</v>
      </c>
      <c r="V144" s="129">
        <f t="shared" si="25"/>
        <v>0</v>
      </c>
      <c r="W144" s="129">
        <f t="shared" si="26"/>
        <v>0</v>
      </c>
      <c r="X144" s="129">
        <f t="shared" si="35"/>
        <v>0</v>
      </c>
      <c r="Y144" s="129">
        <f t="shared" si="27"/>
        <v>65.337800000000001</v>
      </c>
      <c r="Z144" s="153">
        <f t="shared" si="19"/>
        <v>0</v>
      </c>
      <c r="AA144" s="248">
        <f t="shared" si="20"/>
        <v>0</v>
      </c>
      <c r="AB144" s="153">
        <f t="shared" si="28"/>
        <v>0</v>
      </c>
      <c r="AC144" s="248">
        <f t="shared" si="21"/>
        <v>0</v>
      </c>
      <c r="AD144" s="153">
        <f t="shared" si="22"/>
        <v>0</v>
      </c>
      <c r="AE144" s="248">
        <f t="shared" si="23"/>
        <v>0</v>
      </c>
      <c r="AF144" s="153">
        <f t="shared" si="29"/>
        <v>0</v>
      </c>
      <c r="AG144" s="248">
        <f t="shared" si="24"/>
        <v>0</v>
      </c>
      <c r="AH144" s="153">
        <f t="shared" si="30"/>
        <v>0</v>
      </c>
      <c r="AI144" s="153"/>
      <c r="AJ144" s="153">
        <f t="shared" si="31"/>
        <v>0</v>
      </c>
      <c r="AK144" s="153">
        <f t="shared" si="32"/>
        <v>0</v>
      </c>
      <c r="AL144" s="153"/>
      <c r="AM144" s="153">
        <f>AK143*W143+AK144*W144</f>
        <v>0</v>
      </c>
      <c r="AN144" s="153">
        <f>(SUM(AD143:AG143)*W143+SUM(AD144:AG144)*W144)*12*VLOOKUP(C144,JNovergang,3,1)</f>
        <v>0</v>
      </c>
      <c r="AO144" s="153">
        <f>AM144-AN144</f>
        <v>0</v>
      </c>
      <c r="AP144" s="153">
        <f>M144*(100+X144)%</f>
        <v>0</v>
      </c>
      <c r="AQ144" s="248">
        <f>ROUND(M144*F144,2)</f>
        <v>0</v>
      </c>
      <c r="AS144" s="248">
        <f>ROUND((AP144+AQ144)+AM144*(N144/12),0)</f>
        <v>0</v>
      </c>
      <c r="AT144" s="248">
        <f>ROUND(AM144*(O144/12),0)</f>
        <v>0</v>
      </c>
      <c r="AU144" s="248">
        <f>ROUND(AM144*(P144/12)*U144,0)</f>
        <v>0</v>
      </c>
      <c r="AW144" s="129">
        <f t="shared" si="33"/>
        <v>0</v>
      </c>
    </row>
    <row r="145" spans="1:49" x14ac:dyDescent="0.15">
      <c r="A145" s="157"/>
      <c r="B145" s="158"/>
      <c r="C145" s="158"/>
      <c r="D145" s="149" t="str">
        <f t="shared" si="34"/>
        <v xml:space="preserve"> </v>
      </c>
      <c r="E145" s="161"/>
      <c r="F145" s="261">
        <v>0</v>
      </c>
      <c r="G145" s="161">
        <v>37</v>
      </c>
      <c r="H145" s="161">
        <v>37</v>
      </c>
      <c r="I145" s="161"/>
      <c r="J145" s="163"/>
      <c r="K145" s="161"/>
      <c r="L145" s="163"/>
      <c r="M145" s="150"/>
      <c r="N145" s="150"/>
      <c r="O145" s="150"/>
      <c r="P145" s="150"/>
      <c r="Q145" s="151"/>
      <c r="R145" s="151"/>
      <c r="S145" s="152"/>
      <c r="V145" s="129">
        <f t="shared" si="25"/>
        <v>0</v>
      </c>
      <c r="W145" s="129">
        <f t="shared" si="26"/>
        <v>0</v>
      </c>
      <c r="X145" s="129">
        <f t="shared" si="35"/>
        <v>0</v>
      </c>
      <c r="Y145" s="129">
        <f t="shared" si="27"/>
        <v>65.337800000000001</v>
      </c>
      <c r="Z145" s="153">
        <f t="shared" si="19"/>
        <v>0</v>
      </c>
      <c r="AA145" s="248">
        <f t="shared" si="20"/>
        <v>0</v>
      </c>
      <c r="AB145" s="153">
        <f t="shared" si="28"/>
        <v>0</v>
      </c>
      <c r="AC145" s="248">
        <f t="shared" si="21"/>
        <v>0</v>
      </c>
      <c r="AD145" s="153">
        <f t="shared" si="22"/>
        <v>0</v>
      </c>
      <c r="AE145" s="248">
        <f t="shared" si="23"/>
        <v>0</v>
      </c>
      <c r="AF145" s="153">
        <f t="shared" si="29"/>
        <v>0</v>
      </c>
      <c r="AG145" s="248">
        <f t="shared" si="24"/>
        <v>0</v>
      </c>
      <c r="AH145" s="153">
        <f t="shared" si="30"/>
        <v>0</v>
      </c>
      <c r="AI145" s="153"/>
      <c r="AJ145" s="153">
        <f t="shared" si="31"/>
        <v>0</v>
      </c>
      <c r="AK145" s="153">
        <f t="shared" si="32"/>
        <v>0</v>
      </c>
      <c r="AL145" s="153"/>
      <c r="AM145" s="153"/>
      <c r="AN145" s="153"/>
      <c r="AQ145" s="153"/>
      <c r="AW145" s="129">
        <f t="shared" si="33"/>
        <v>0</v>
      </c>
    </row>
    <row r="146" spans="1:49" ht="9.75" thickBot="1" x14ac:dyDescent="0.2">
      <c r="A146" s="159"/>
      <c r="B146" s="160"/>
      <c r="C146" s="160"/>
      <c r="D146" s="154" t="str">
        <f t="shared" si="34"/>
        <v xml:space="preserve"> </v>
      </c>
      <c r="E146" s="162"/>
      <c r="F146" s="262">
        <v>0</v>
      </c>
      <c r="G146" s="162">
        <v>37</v>
      </c>
      <c r="H146" s="162">
        <v>37</v>
      </c>
      <c r="I146" s="162"/>
      <c r="J146" s="164"/>
      <c r="K146" s="162"/>
      <c r="L146" s="164"/>
      <c r="M146" s="164"/>
      <c r="N146" s="162"/>
      <c r="O146" s="162"/>
      <c r="P146" s="162"/>
      <c r="Q146" s="155">
        <f>AS146</f>
        <v>0</v>
      </c>
      <c r="R146" s="155">
        <f>AT146</f>
        <v>0</v>
      </c>
      <c r="S146" s="156">
        <f>AU146</f>
        <v>0</v>
      </c>
      <c r="U146" s="129">
        <f>IF(OR(C145=5,C146=5),0,1)</f>
        <v>1</v>
      </c>
      <c r="V146" s="129">
        <f t="shared" si="25"/>
        <v>0</v>
      </c>
      <c r="W146" s="129">
        <f t="shared" si="26"/>
        <v>0</v>
      </c>
      <c r="X146" s="129">
        <f t="shared" si="35"/>
        <v>0</v>
      </c>
      <c r="Y146" s="129">
        <f t="shared" si="27"/>
        <v>65.337800000000001</v>
      </c>
      <c r="Z146" s="153">
        <f t="shared" si="19"/>
        <v>0</v>
      </c>
      <c r="AA146" s="248">
        <f t="shared" si="20"/>
        <v>0</v>
      </c>
      <c r="AB146" s="153">
        <f t="shared" si="28"/>
        <v>0</v>
      </c>
      <c r="AC146" s="248">
        <f t="shared" si="21"/>
        <v>0</v>
      </c>
      <c r="AD146" s="153">
        <f t="shared" si="22"/>
        <v>0</v>
      </c>
      <c r="AE146" s="248">
        <f t="shared" si="23"/>
        <v>0</v>
      </c>
      <c r="AF146" s="153">
        <f t="shared" si="29"/>
        <v>0</v>
      </c>
      <c r="AG146" s="248">
        <f t="shared" si="24"/>
        <v>0</v>
      </c>
      <c r="AH146" s="153">
        <f t="shared" si="30"/>
        <v>0</v>
      </c>
      <c r="AI146" s="153"/>
      <c r="AJ146" s="153">
        <f t="shared" si="31"/>
        <v>0</v>
      </c>
      <c r="AK146" s="153">
        <f t="shared" si="32"/>
        <v>0</v>
      </c>
      <c r="AL146" s="153"/>
      <c r="AM146" s="153">
        <f>AK145*W145+AK146*W146</f>
        <v>0</v>
      </c>
      <c r="AN146" s="153">
        <f>(SUM(AD145:AG145)*W145+SUM(AD146:AG146)*W146)*12*VLOOKUP(C146,JNovergang,3,1)</f>
        <v>0</v>
      </c>
      <c r="AO146" s="153">
        <f>AM146-AN146</f>
        <v>0</v>
      </c>
      <c r="AP146" s="153">
        <f>M146*(100+X146)%</f>
        <v>0</v>
      </c>
      <c r="AQ146" s="248">
        <f>ROUND(M146*F146,2)</f>
        <v>0</v>
      </c>
      <c r="AS146" s="248">
        <f>ROUND((AP146+AQ146)+AM146*(N146/12),0)</f>
        <v>0</v>
      </c>
      <c r="AT146" s="248">
        <f>ROUND(AM146*(O146/12),0)</f>
        <v>0</v>
      </c>
      <c r="AU146" s="248">
        <f>ROUND(AM146*(P146/12)*U146,0)</f>
        <v>0</v>
      </c>
      <c r="AW146" s="129">
        <f t="shared" si="33"/>
        <v>0</v>
      </c>
    </row>
    <row r="147" spans="1:49" x14ac:dyDescent="0.15">
      <c r="A147" s="157"/>
      <c r="B147" s="158"/>
      <c r="C147" s="158"/>
      <c r="D147" s="149" t="str">
        <f t="shared" si="34"/>
        <v xml:space="preserve"> </v>
      </c>
      <c r="E147" s="161"/>
      <c r="F147" s="261">
        <v>0</v>
      </c>
      <c r="G147" s="161">
        <v>37</v>
      </c>
      <c r="H147" s="161">
        <v>37</v>
      </c>
      <c r="I147" s="161"/>
      <c r="J147" s="163"/>
      <c r="K147" s="161"/>
      <c r="L147" s="163"/>
      <c r="M147" s="150"/>
      <c r="N147" s="150"/>
      <c r="O147" s="150"/>
      <c r="P147" s="150"/>
      <c r="Q147" s="151"/>
      <c r="R147" s="151"/>
      <c r="S147" s="152"/>
      <c r="V147" s="129">
        <f t="shared" si="25"/>
        <v>0</v>
      </c>
      <c r="W147" s="129">
        <f t="shared" si="26"/>
        <v>0</v>
      </c>
      <c r="X147" s="129">
        <f t="shared" si="35"/>
        <v>0</v>
      </c>
      <c r="Y147" s="129">
        <f t="shared" si="27"/>
        <v>65.337800000000001</v>
      </c>
      <c r="Z147" s="153">
        <f t="shared" si="19"/>
        <v>0</v>
      </c>
      <c r="AA147" s="248">
        <f t="shared" si="20"/>
        <v>0</v>
      </c>
      <c r="AB147" s="153">
        <f t="shared" si="28"/>
        <v>0</v>
      </c>
      <c r="AC147" s="248">
        <f t="shared" si="21"/>
        <v>0</v>
      </c>
      <c r="AD147" s="153">
        <f t="shared" si="22"/>
        <v>0</v>
      </c>
      <c r="AE147" s="248">
        <f t="shared" si="23"/>
        <v>0</v>
      </c>
      <c r="AF147" s="153">
        <f t="shared" si="29"/>
        <v>0</v>
      </c>
      <c r="AG147" s="248">
        <f t="shared" si="24"/>
        <v>0</v>
      </c>
      <c r="AH147" s="153">
        <f t="shared" si="30"/>
        <v>0</v>
      </c>
      <c r="AI147" s="153"/>
      <c r="AJ147" s="153">
        <f t="shared" si="31"/>
        <v>0</v>
      </c>
      <c r="AK147" s="153">
        <f t="shared" si="32"/>
        <v>0</v>
      </c>
      <c r="AL147" s="153"/>
      <c r="AM147" s="153"/>
      <c r="AN147" s="153"/>
      <c r="AQ147" s="153"/>
      <c r="AW147" s="129">
        <f t="shared" si="33"/>
        <v>0</v>
      </c>
    </row>
    <row r="148" spans="1:49" ht="9.75" thickBot="1" x14ac:dyDescent="0.2">
      <c r="A148" s="159"/>
      <c r="B148" s="160"/>
      <c r="C148" s="160"/>
      <c r="D148" s="154" t="str">
        <f t="shared" si="34"/>
        <v xml:space="preserve"> </v>
      </c>
      <c r="E148" s="162"/>
      <c r="F148" s="262">
        <v>0</v>
      </c>
      <c r="G148" s="162">
        <v>37</v>
      </c>
      <c r="H148" s="162">
        <v>37</v>
      </c>
      <c r="I148" s="162"/>
      <c r="J148" s="164"/>
      <c r="K148" s="162"/>
      <c r="L148" s="164"/>
      <c r="M148" s="164"/>
      <c r="N148" s="162"/>
      <c r="O148" s="162"/>
      <c r="P148" s="162"/>
      <c r="Q148" s="155">
        <f>AS148</f>
        <v>0</v>
      </c>
      <c r="R148" s="155">
        <f>AT148</f>
        <v>0</v>
      </c>
      <c r="S148" s="156">
        <f>AU148</f>
        <v>0</v>
      </c>
      <c r="U148" s="129">
        <f>IF(OR(C147=5,C148=5),0,1)</f>
        <v>1</v>
      </c>
      <c r="V148" s="129">
        <f t="shared" si="25"/>
        <v>0</v>
      </c>
      <c r="W148" s="129">
        <f t="shared" si="26"/>
        <v>0</v>
      </c>
      <c r="X148" s="129">
        <f t="shared" si="35"/>
        <v>0</v>
      </c>
      <c r="Y148" s="129">
        <f t="shared" si="27"/>
        <v>65.337800000000001</v>
      </c>
      <c r="Z148" s="153">
        <f t="shared" si="19"/>
        <v>0</v>
      </c>
      <c r="AA148" s="248">
        <f t="shared" si="20"/>
        <v>0</v>
      </c>
      <c r="AB148" s="153">
        <f t="shared" si="28"/>
        <v>0</v>
      </c>
      <c r="AC148" s="248">
        <f t="shared" si="21"/>
        <v>0</v>
      </c>
      <c r="AD148" s="153">
        <f t="shared" si="22"/>
        <v>0</v>
      </c>
      <c r="AE148" s="248">
        <f t="shared" si="23"/>
        <v>0</v>
      </c>
      <c r="AF148" s="153">
        <f t="shared" si="29"/>
        <v>0</v>
      </c>
      <c r="AG148" s="248">
        <f t="shared" si="24"/>
        <v>0</v>
      </c>
      <c r="AH148" s="153">
        <f t="shared" si="30"/>
        <v>0</v>
      </c>
      <c r="AI148" s="153"/>
      <c r="AJ148" s="153">
        <f t="shared" si="31"/>
        <v>0</v>
      </c>
      <c r="AK148" s="153">
        <f t="shared" si="32"/>
        <v>0</v>
      </c>
      <c r="AL148" s="153"/>
      <c r="AM148" s="153">
        <f>AK147*W147+AK148*W148</f>
        <v>0</v>
      </c>
      <c r="AN148" s="153">
        <f>(SUM(AD147:AG147)*W147+SUM(AD148:AG148)*W148)*12*VLOOKUP(C148,JNovergang,3,1)</f>
        <v>0</v>
      </c>
      <c r="AO148" s="153">
        <f>AM148-AN148</f>
        <v>0</v>
      </c>
      <c r="AP148" s="153">
        <f>M148*(100+X148)%</f>
        <v>0</v>
      </c>
      <c r="AQ148" s="248">
        <f>ROUND(M148*F148,2)</f>
        <v>0</v>
      </c>
      <c r="AS148" s="248">
        <f>ROUND((AP148+AQ148)+AM148*(N148/12),0)</f>
        <v>0</v>
      </c>
      <c r="AT148" s="248">
        <f>ROUND(AM148*(O148/12),0)</f>
        <v>0</v>
      </c>
      <c r="AU148" s="248">
        <f>ROUND(AM148*(P148/12)*U148,0)</f>
        <v>0</v>
      </c>
      <c r="AW148" s="129">
        <f t="shared" si="33"/>
        <v>0</v>
      </c>
    </row>
    <row r="149" spans="1:49" x14ac:dyDescent="0.15">
      <c r="A149" s="157"/>
      <c r="B149" s="158"/>
      <c r="C149" s="158"/>
      <c r="D149" s="149" t="str">
        <f t="shared" si="34"/>
        <v xml:space="preserve"> </v>
      </c>
      <c r="E149" s="161"/>
      <c r="F149" s="261">
        <v>0</v>
      </c>
      <c r="G149" s="161">
        <v>37</v>
      </c>
      <c r="H149" s="161">
        <v>37</v>
      </c>
      <c r="I149" s="161"/>
      <c r="J149" s="163"/>
      <c r="K149" s="161"/>
      <c r="L149" s="163"/>
      <c r="M149" s="150"/>
      <c r="N149" s="150"/>
      <c r="O149" s="150"/>
      <c r="P149" s="150"/>
      <c r="Q149" s="151"/>
      <c r="R149" s="151"/>
      <c r="S149" s="152"/>
      <c r="V149" s="129">
        <f t="shared" si="25"/>
        <v>0</v>
      </c>
      <c r="W149" s="129">
        <f t="shared" si="26"/>
        <v>0</v>
      </c>
      <c r="X149" s="129">
        <f t="shared" si="35"/>
        <v>0</v>
      </c>
      <c r="Y149" s="129">
        <f t="shared" si="27"/>
        <v>65.337800000000001</v>
      </c>
      <c r="Z149" s="153">
        <f t="shared" ref="Z149:Z212" si="36">ROUND(VLOOKUP(I149,TabelLønninger,VLOOKUP(E149,TabelLøntabel,2,1),1)*G149/H149,2)</f>
        <v>0</v>
      </c>
      <c r="AA149" s="248">
        <f t="shared" ref="AA149:AA212" si="37">ROUND(VLOOKUP(I149,TabelLønninger,VLOOKUP(E149,TabelPensgivLøn,2))*F149/12*G149/H149,2)</f>
        <v>0</v>
      </c>
      <c r="AB149" s="153">
        <f t="shared" si="28"/>
        <v>0</v>
      </c>
      <c r="AC149" s="248">
        <f t="shared" ref="AC149:AC212" si="38">ROUND(AB149*F149,2)</f>
        <v>0</v>
      </c>
      <c r="AD149" s="153">
        <f t="shared" ref="AD149:AD212" si="39">ROUND(VLOOKUP(I149+K149,TabelLønninger,VLOOKUP(E149,TabelLøntabel,2,1),1)*G149/H149,2)-Z149</f>
        <v>0</v>
      </c>
      <c r="AE149" s="248">
        <f t="shared" ref="AE149:AE212" si="40">ROUND(VLOOKUP(I149+K149,TabelLønninger,VLOOKUP(E149,TabelPensgivLøn,2))*F149/12*G149/H149,2)-AA149</f>
        <v>0</v>
      </c>
      <c r="AF149" s="153">
        <f t="shared" si="29"/>
        <v>0</v>
      </c>
      <c r="AG149" s="248">
        <f t="shared" ref="AG149:AG212" si="41">ROUND(AF149*F149,2)</f>
        <v>0</v>
      </c>
      <c r="AH149" s="153">
        <f t="shared" si="30"/>
        <v>0</v>
      </c>
      <c r="AI149" s="153"/>
      <c r="AJ149" s="153">
        <f t="shared" si="31"/>
        <v>0</v>
      </c>
      <c r="AK149" s="153">
        <f t="shared" si="32"/>
        <v>0</v>
      </c>
      <c r="AL149" s="153"/>
      <c r="AM149" s="153"/>
      <c r="AN149" s="153"/>
      <c r="AQ149" s="153"/>
      <c r="AW149" s="129">
        <f t="shared" si="33"/>
        <v>0</v>
      </c>
    </row>
    <row r="150" spans="1:49" ht="9.75" thickBot="1" x14ac:dyDescent="0.2">
      <c r="A150" s="159"/>
      <c r="B150" s="160"/>
      <c r="C150" s="160"/>
      <c r="D150" s="154" t="str">
        <f t="shared" si="34"/>
        <v xml:space="preserve"> </v>
      </c>
      <c r="E150" s="162"/>
      <c r="F150" s="262">
        <v>0</v>
      </c>
      <c r="G150" s="162">
        <v>37</v>
      </c>
      <c r="H150" s="162">
        <v>37</v>
      </c>
      <c r="I150" s="162"/>
      <c r="J150" s="164"/>
      <c r="K150" s="162"/>
      <c r="L150" s="164"/>
      <c r="M150" s="164"/>
      <c r="N150" s="162"/>
      <c r="O150" s="162"/>
      <c r="P150" s="162"/>
      <c r="Q150" s="155">
        <f>AS150</f>
        <v>0</v>
      </c>
      <c r="R150" s="155">
        <f>AT150</f>
        <v>0</v>
      </c>
      <c r="S150" s="156">
        <f>AU150</f>
        <v>0</v>
      </c>
      <c r="U150" s="129">
        <f>IF(OR(C149=5,C150=5),0,1)</f>
        <v>1</v>
      </c>
      <c r="V150" s="129">
        <f t="shared" ref="V150:V213" si="42">VLOOKUP(C150,TabelRammeforbrug,3,1)</f>
        <v>0</v>
      </c>
      <c r="W150" s="129">
        <f t="shared" ref="W150:W213" si="43">VLOOKUP(C150,FraTil,3,1)</f>
        <v>0</v>
      </c>
      <c r="X150" s="129">
        <f t="shared" si="35"/>
        <v>0</v>
      </c>
      <c r="Y150" s="129">
        <f t="shared" ref="Y150:Y213" si="44">VLOOKUP(E150,TabelPctReg,2)</f>
        <v>65.337800000000001</v>
      </c>
      <c r="Z150" s="153">
        <f t="shared" si="36"/>
        <v>0</v>
      </c>
      <c r="AA150" s="248">
        <f t="shared" si="37"/>
        <v>0</v>
      </c>
      <c r="AB150" s="153">
        <f t="shared" ref="AB150:AB213" si="45">ROUND(J150/12*(1+Y150%),2)*G150/H150</f>
        <v>0</v>
      </c>
      <c r="AC150" s="248">
        <f t="shared" si="38"/>
        <v>0</v>
      </c>
      <c r="AD150" s="153">
        <f t="shared" si="39"/>
        <v>0</v>
      </c>
      <c r="AE150" s="248">
        <f t="shared" si="40"/>
        <v>0</v>
      </c>
      <c r="AF150" s="153">
        <f t="shared" ref="AF150:AF213" si="46">ROUND(L150/12*(1+Y150%),2)*G150/H150</f>
        <v>0</v>
      </c>
      <c r="AG150" s="248">
        <f t="shared" si="41"/>
        <v>0</v>
      </c>
      <c r="AH150" s="153">
        <f t="shared" ref="AH150:AH213" si="47">ROUND((Z150+AB150+AD150+AF150)*X150%,2)</f>
        <v>0</v>
      </c>
      <c r="AI150" s="153"/>
      <c r="AJ150" s="153">
        <f t="shared" ref="AJ150:AJ213" si="48">SUM(Z150:AH150)</f>
        <v>0</v>
      </c>
      <c r="AK150" s="153">
        <f t="shared" ref="AK150:AK213" si="49">AJ150*12</f>
        <v>0</v>
      </c>
      <c r="AL150" s="153"/>
      <c r="AM150" s="153">
        <f>AK149*W149+AK150*W150</f>
        <v>0</v>
      </c>
      <c r="AN150" s="153">
        <f>(SUM(AD149:AG149)*W149+SUM(AD150:AG150)*W150)*12*VLOOKUP(C150,JNovergang,3,1)</f>
        <v>0</v>
      </c>
      <c r="AO150" s="153">
        <f>AM150-AN150</f>
        <v>0</v>
      </c>
      <c r="AP150" s="153">
        <f>M150*(100+X150)%</f>
        <v>0</v>
      </c>
      <c r="AQ150" s="248">
        <f>ROUND(M150*F150,2)</f>
        <v>0</v>
      </c>
      <c r="AS150" s="248">
        <f>ROUND((AP150+AQ150)+AM150*(N150/12),0)</f>
        <v>0</v>
      </c>
      <c r="AT150" s="248">
        <f>ROUND(AM150*(O150/12),0)</f>
        <v>0</v>
      </c>
      <c r="AU150" s="248">
        <f>ROUND(AM150*(P150/12)*U150,0)</f>
        <v>0</v>
      </c>
      <c r="AW150" s="129">
        <f t="shared" ref="AW150:AW213" si="50">IF(ISNUMBER(C150),ROW(),0)</f>
        <v>0</v>
      </c>
    </row>
    <row r="151" spans="1:49" x14ac:dyDescent="0.15">
      <c r="A151" s="157"/>
      <c r="B151" s="158"/>
      <c r="C151" s="158"/>
      <c r="D151" s="149" t="str">
        <f t="shared" si="34"/>
        <v xml:space="preserve"> </v>
      </c>
      <c r="E151" s="161"/>
      <c r="F151" s="261">
        <v>0</v>
      </c>
      <c r="G151" s="161">
        <v>37</v>
      </c>
      <c r="H151" s="161">
        <v>37</v>
      </c>
      <c r="I151" s="161"/>
      <c r="J151" s="163"/>
      <c r="K151" s="161"/>
      <c r="L151" s="163"/>
      <c r="M151" s="150"/>
      <c r="N151" s="150"/>
      <c r="O151" s="150"/>
      <c r="P151" s="150"/>
      <c r="Q151" s="151"/>
      <c r="R151" s="151"/>
      <c r="S151" s="152"/>
      <c r="V151" s="129">
        <f t="shared" si="42"/>
        <v>0</v>
      </c>
      <c r="W151" s="129">
        <f t="shared" si="43"/>
        <v>0</v>
      </c>
      <c r="X151" s="129">
        <f t="shared" si="35"/>
        <v>0</v>
      </c>
      <c r="Y151" s="129">
        <f t="shared" si="44"/>
        <v>65.337800000000001</v>
      </c>
      <c r="Z151" s="153">
        <f t="shared" si="36"/>
        <v>0</v>
      </c>
      <c r="AA151" s="248">
        <f t="shared" si="37"/>
        <v>0</v>
      </c>
      <c r="AB151" s="153">
        <f t="shared" si="45"/>
        <v>0</v>
      </c>
      <c r="AC151" s="248">
        <f t="shared" si="38"/>
        <v>0</v>
      </c>
      <c r="AD151" s="153">
        <f t="shared" si="39"/>
        <v>0</v>
      </c>
      <c r="AE151" s="248">
        <f t="shared" si="40"/>
        <v>0</v>
      </c>
      <c r="AF151" s="153">
        <f t="shared" si="46"/>
        <v>0</v>
      </c>
      <c r="AG151" s="248">
        <f t="shared" si="41"/>
        <v>0</v>
      </c>
      <c r="AH151" s="153">
        <f t="shared" si="47"/>
        <v>0</v>
      </c>
      <c r="AI151" s="153"/>
      <c r="AJ151" s="153">
        <f t="shared" si="48"/>
        <v>0</v>
      </c>
      <c r="AK151" s="153">
        <f t="shared" si="49"/>
        <v>0</v>
      </c>
      <c r="AL151" s="153"/>
      <c r="AM151" s="153"/>
      <c r="AN151" s="153"/>
      <c r="AQ151" s="153"/>
      <c r="AW151" s="129">
        <f t="shared" si="50"/>
        <v>0</v>
      </c>
    </row>
    <row r="152" spans="1:49" ht="9.75" thickBot="1" x14ac:dyDescent="0.2">
      <c r="A152" s="159"/>
      <c r="B152" s="160"/>
      <c r="C152" s="160"/>
      <c r="D152" s="154" t="str">
        <f t="shared" si="34"/>
        <v xml:space="preserve"> </v>
      </c>
      <c r="E152" s="162"/>
      <c r="F152" s="262">
        <v>0</v>
      </c>
      <c r="G152" s="162">
        <v>37</v>
      </c>
      <c r="H152" s="162">
        <v>37</v>
      </c>
      <c r="I152" s="162"/>
      <c r="J152" s="164"/>
      <c r="K152" s="162"/>
      <c r="L152" s="164"/>
      <c r="M152" s="164"/>
      <c r="N152" s="162"/>
      <c r="O152" s="162"/>
      <c r="P152" s="162"/>
      <c r="Q152" s="155">
        <f>AS152</f>
        <v>0</v>
      </c>
      <c r="R152" s="155">
        <f>AT152</f>
        <v>0</v>
      </c>
      <c r="S152" s="156">
        <f>AU152</f>
        <v>0</v>
      </c>
      <c r="U152" s="129">
        <f>IF(OR(C151=5,C152=5),0,1)</f>
        <v>1</v>
      </c>
      <c r="V152" s="129">
        <f t="shared" si="42"/>
        <v>0</v>
      </c>
      <c r="W152" s="129">
        <f t="shared" si="43"/>
        <v>0</v>
      </c>
      <c r="X152" s="129">
        <f t="shared" si="35"/>
        <v>0</v>
      </c>
      <c r="Y152" s="129">
        <f t="shared" si="44"/>
        <v>65.337800000000001</v>
      </c>
      <c r="Z152" s="153">
        <f t="shared" si="36"/>
        <v>0</v>
      </c>
      <c r="AA152" s="248">
        <f t="shared" si="37"/>
        <v>0</v>
      </c>
      <c r="AB152" s="153">
        <f t="shared" si="45"/>
        <v>0</v>
      </c>
      <c r="AC152" s="248">
        <f t="shared" si="38"/>
        <v>0</v>
      </c>
      <c r="AD152" s="153">
        <f t="shared" si="39"/>
        <v>0</v>
      </c>
      <c r="AE152" s="248">
        <f t="shared" si="40"/>
        <v>0</v>
      </c>
      <c r="AF152" s="153">
        <f t="shared" si="46"/>
        <v>0</v>
      </c>
      <c r="AG152" s="248">
        <f t="shared" si="41"/>
        <v>0</v>
      </c>
      <c r="AH152" s="153">
        <f t="shared" si="47"/>
        <v>0</v>
      </c>
      <c r="AI152" s="153"/>
      <c r="AJ152" s="153">
        <f t="shared" si="48"/>
        <v>0</v>
      </c>
      <c r="AK152" s="153">
        <f t="shared" si="49"/>
        <v>0</v>
      </c>
      <c r="AL152" s="153"/>
      <c r="AM152" s="153">
        <f>AK151*W151+AK152*W152</f>
        <v>0</v>
      </c>
      <c r="AN152" s="153">
        <f>(SUM(AD151:AG151)*W151+SUM(AD152:AG152)*W152)*12*VLOOKUP(C152,JNovergang,3,1)</f>
        <v>0</v>
      </c>
      <c r="AO152" s="153">
        <f>AM152-AN152</f>
        <v>0</v>
      </c>
      <c r="AP152" s="153">
        <f>M152*(100+X152)%</f>
        <v>0</v>
      </c>
      <c r="AQ152" s="248">
        <f>ROUND(M152*F152,2)</f>
        <v>0</v>
      </c>
      <c r="AS152" s="248">
        <f>ROUND((AP152+AQ152)+AM152*(N152/12),0)</f>
        <v>0</v>
      </c>
      <c r="AT152" s="248">
        <f>ROUND(AM152*(O152/12),0)</f>
        <v>0</v>
      </c>
      <c r="AU152" s="248">
        <f>ROUND(AM152*(P152/12)*U152,0)</f>
        <v>0</v>
      </c>
      <c r="AW152" s="129">
        <f t="shared" si="50"/>
        <v>0</v>
      </c>
    </row>
    <row r="153" spans="1:49" x14ac:dyDescent="0.15">
      <c r="A153" s="157"/>
      <c r="B153" s="158"/>
      <c r="C153" s="158"/>
      <c r="D153" s="149" t="str">
        <f t="shared" si="34"/>
        <v xml:space="preserve"> </v>
      </c>
      <c r="E153" s="161"/>
      <c r="F153" s="261">
        <v>0</v>
      </c>
      <c r="G153" s="161">
        <v>37</v>
      </c>
      <c r="H153" s="161">
        <v>37</v>
      </c>
      <c r="I153" s="161"/>
      <c r="J153" s="163"/>
      <c r="K153" s="161"/>
      <c r="L153" s="163"/>
      <c r="M153" s="150"/>
      <c r="N153" s="150"/>
      <c r="O153" s="150"/>
      <c r="P153" s="150"/>
      <c r="Q153" s="151"/>
      <c r="R153" s="151"/>
      <c r="S153" s="152"/>
      <c r="V153" s="129">
        <f t="shared" si="42"/>
        <v>0</v>
      </c>
      <c r="W153" s="129">
        <f t="shared" si="43"/>
        <v>0</v>
      </c>
      <c r="X153" s="129">
        <f t="shared" si="35"/>
        <v>0</v>
      </c>
      <c r="Y153" s="129">
        <f t="shared" si="44"/>
        <v>65.337800000000001</v>
      </c>
      <c r="Z153" s="153">
        <f t="shared" si="36"/>
        <v>0</v>
      </c>
      <c r="AA153" s="248">
        <f t="shared" si="37"/>
        <v>0</v>
      </c>
      <c r="AB153" s="153">
        <f t="shared" si="45"/>
        <v>0</v>
      </c>
      <c r="AC153" s="248">
        <f t="shared" si="38"/>
        <v>0</v>
      </c>
      <c r="AD153" s="153">
        <f t="shared" si="39"/>
        <v>0</v>
      </c>
      <c r="AE153" s="248">
        <f t="shared" si="40"/>
        <v>0</v>
      </c>
      <c r="AF153" s="153">
        <f t="shared" si="46"/>
        <v>0</v>
      </c>
      <c r="AG153" s="248">
        <f t="shared" si="41"/>
        <v>0</v>
      </c>
      <c r="AH153" s="153">
        <f t="shared" si="47"/>
        <v>0</v>
      </c>
      <c r="AI153" s="153"/>
      <c r="AJ153" s="153">
        <f t="shared" si="48"/>
        <v>0</v>
      </c>
      <c r="AK153" s="153">
        <f t="shared" si="49"/>
        <v>0</v>
      </c>
      <c r="AL153" s="153"/>
      <c r="AM153" s="153"/>
      <c r="AN153" s="153"/>
      <c r="AQ153" s="153"/>
      <c r="AW153" s="129">
        <f t="shared" si="50"/>
        <v>0</v>
      </c>
    </row>
    <row r="154" spans="1:49" ht="9.75" thickBot="1" x14ac:dyDescent="0.2">
      <c r="A154" s="159"/>
      <c r="B154" s="160"/>
      <c r="C154" s="160"/>
      <c r="D154" s="154" t="str">
        <f t="shared" si="34"/>
        <v xml:space="preserve"> </v>
      </c>
      <c r="E154" s="162"/>
      <c r="F154" s="262">
        <v>0</v>
      </c>
      <c r="G154" s="162">
        <v>37</v>
      </c>
      <c r="H154" s="162">
        <v>37</v>
      </c>
      <c r="I154" s="162"/>
      <c r="J154" s="164"/>
      <c r="K154" s="162"/>
      <c r="L154" s="164"/>
      <c r="M154" s="164"/>
      <c r="N154" s="162"/>
      <c r="O154" s="162"/>
      <c r="P154" s="162"/>
      <c r="Q154" s="155">
        <f>AS154</f>
        <v>0</v>
      </c>
      <c r="R154" s="155">
        <f>AT154</f>
        <v>0</v>
      </c>
      <c r="S154" s="156">
        <f>AU154</f>
        <v>0</v>
      </c>
      <c r="U154" s="129">
        <f>IF(OR(C153=5,C154=5),0,1)</f>
        <v>1</v>
      </c>
      <c r="V154" s="129">
        <f t="shared" si="42"/>
        <v>0</v>
      </c>
      <c r="W154" s="129">
        <f t="shared" si="43"/>
        <v>0</v>
      </c>
      <c r="X154" s="129">
        <f t="shared" si="35"/>
        <v>0</v>
      </c>
      <c r="Y154" s="129">
        <f t="shared" si="44"/>
        <v>65.337800000000001</v>
      </c>
      <c r="Z154" s="153">
        <f t="shared" si="36"/>
        <v>0</v>
      </c>
      <c r="AA154" s="248">
        <f t="shared" si="37"/>
        <v>0</v>
      </c>
      <c r="AB154" s="153">
        <f t="shared" si="45"/>
        <v>0</v>
      </c>
      <c r="AC154" s="248">
        <f t="shared" si="38"/>
        <v>0</v>
      </c>
      <c r="AD154" s="153">
        <f t="shared" si="39"/>
        <v>0</v>
      </c>
      <c r="AE154" s="248">
        <f t="shared" si="40"/>
        <v>0</v>
      </c>
      <c r="AF154" s="153">
        <f t="shared" si="46"/>
        <v>0</v>
      </c>
      <c r="AG154" s="248">
        <f t="shared" si="41"/>
        <v>0</v>
      </c>
      <c r="AH154" s="153">
        <f t="shared" si="47"/>
        <v>0</v>
      </c>
      <c r="AI154" s="153"/>
      <c r="AJ154" s="153">
        <f t="shared" si="48"/>
        <v>0</v>
      </c>
      <c r="AK154" s="153">
        <f t="shared" si="49"/>
        <v>0</v>
      </c>
      <c r="AL154" s="153"/>
      <c r="AM154" s="153">
        <f>AK153*W153+AK154*W154</f>
        <v>0</v>
      </c>
      <c r="AN154" s="153">
        <f>(SUM(AD153:AG153)*W153+SUM(AD154:AG154)*W154)*12*VLOOKUP(C154,JNovergang,3,1)</f>
        <v>0</v>
      </c>
      <c r="AO154" s="153">
        <f>AM154-AN154</f>
        <v>0</v>
      </c>
      <c r="AP154" s="153">
        <f>M154*(100+X154)%</f>
        <v>0</v>
      </c>
      <c r="AQ154" s="248">
        <f>ROUND(M154*F154,2)</f>
        <v>0</v>
      </c>
      <c r="AS154" s="248">
        <f>ROUND((AP154+AQ154)+AM154*(N154/12),0)</f>
        <v>0</v>
      </c>
      <c r="AT154" s="248">
        <f>ROUND(AM154*(O154/12),0)</f>
        <v>0</v>
      </c>
      <c r="AU154" s="248">
        <f>ROUND(AM154*(P154/12)*U154,0)</f>
        <v>0</v>
      </c>
      <c r="AW154" s="129">
        <f t="shared" si="50"/>
        <v>0</v>
      </c>
    </row>
    <row r="155" spans="1:49" x14ac:dyDescent="0.15">
      <c r="A155" s="157"/>
      <c r="B155" s="158"/>
      <c r="C155" s="158"/>
      <c r="D155" s="149" t="str">
        <f t="shared" si="34"/>
        <v xml:space="preserve"> </v>
      </c>
      <c r="E155" s="161"/>
      <c r="F155" s="261">
        <v>0</v>
      </c>
      <c r="G155" s="161">
        <v>37</v>
      </c>
      <c r="H155" s="161">
        <v>37</v>
      </c>
      <c r="I155" s="161"/>
      <c r="J155" s="163"/>
      <c r="K155" s="161"/>
      <c r="L155" s="163"/>
      <c r="M155" s="150"/>
      <c r="N155" s="150"/>
      <c r="O155" s="150"/>
      <c r="P155" s="150"/>
      <c r="Q155" s="151"/>
      <c r="R155" s="151"/>
      <c r="S155" s="152"/>
      <c r="V155" s="129">
        <f t="shared" si="42"/>
        <v>0</v>
      </c>
      <c r="W155" s="129">
        <f t="shared" si="43"/>
        <v>0</v>
      </c>
      <c r="X155" s="129">
        <f t="shared" si="35"/>
        <v>0</v>
      </c>
      <c r="Y155" s="129">
        <f t="shared" si="44"/>
        <v>65.337800000000001</v>
      </c>
      <c r="Z155" s="153">
        <f t="shared" si="36"/>
        <v>0</v>
      </c>
      <c r="AA155" s="248">
        <f t="shared" si="37"/>
        <v>0</v>
      </c>
      <c r="AB155" s="153">
        <f t="shared" si="45"/>
        <v>0</v>
      </c>
      <c r="AC155" s="248">
        <f t="shared" si="38"/>
        <v>0</v>
      </c>
      <c r="AD155" s="153">
        <f t="shared" si="39"/>
        <v>0</v>
      </c>
      <c r="AE155" s="248">
        <f t="shared" si="40"/>
        <v>0</v>
      </c>
      <c r="AF155" s="153">
        <f t="shared" si="46"/>
        <v>0</v>
      </c>
      <c r="AG155" s="248">
        <f t="shared" si="41"/>
        <v>0</v>
      </c>
      <c r="AH155" s="153">
        <f t="shared" si="47"/>
        <v>0</v>
      </c>
      <c r="AI155" s="153"/>
      <c r="AJ155" s="153">
        <f t="shared" si="48"/>
        <v>0</v>
      </c>
      <c r="AK155" s="153">
        <f t="shared" si="49"/>
        <v>0</v>
      </c>
      <c r="AL155" s="153"/>
      <c r="AM155" s="153"/>
      <c r="AN155" s="153"/>
      <c r="AQ155" s="153"/>
      <c r="AW155" s="129">
        <f t="shared" si="50"/>
        <v>0</v>
      </c>
    </row>
    <row r="156" spans="1:49" ht="9.75" thickBot="1" x14ac:dyDescent="0.2">
      <c r="A156" s="159"/>
      <c r="B156" s="160"/>
      <c r="C156" s="160"/>
      <c r="D156" s="154" t="str">
        <f t="shared" si="34"/>
        <v xml:space="preserve"> </v>
      </c>
      <c r="E156" s="162"/>
      <c r="F156" s="262">
        <v>0</v>
      </c>
      <c r="G156" s="162">
        <v>37</v>
      </c>
      <c r="H156" s="162">
        <v>37</v>
      </c>
      <c r="I156" s="162"/>
      <c r="J156" s="164"/>
      <c r="K156" s="162"/>
      <c r="L156" s="164"/>
      <c r="M156" s="164"/>
      <c r="N156" s="162"/>
      <c r="O156" s="162"/>
      <c r="P156" s="162"/>
      <c r="Q156" s="155">
        <f>AS156</f>
        <v>0</v>
      </c>
      <c r="R156" s="155">
        <f>AT156</f>
        <v>0</v>
      </c>
      <c r="S156" s="156">
        <f>AU156</f>
        <v>0</v>
      </c>
      <c r="U156" s="129">
        <f>IF(OR(C155=5,C156=5),0,1)</f>
        <v>1</v>
      </c>
      <c r="V156" s="129">
        <f t="shared" si="42"/>
        <v>0</v>
      </c>
      <c r="W156" s="129">
        <f t="shared" si="43"/>
        <v>0</v>
      </c>
      <c r="X156" s="129">
        <f t="shared" si="35"/>
        <v>0</v>
      </c>
      <c r="Y156" s="129">
        <f t="shared" si="44"/>
        <v>65.337800000000001</v>
      </c>
      <c r="Z156" s="153">
        <f t="shared" si="36"/>
        <v>0</v>
      </c>
      <c r="AA156" s="248">
        <f t="shared" si="37"/>
        <v>0</v>
      </c>
      <c r="AB156" s="153">
        <f t="shared" si="45"/>
        <v>0</v>
      </c>
      <c r="AC156" s="248">
        <f t="shared" si="38"/>
        <v>0</v>
      </c>
      <c r="AD156" s="153">
        <f t="shared" si="39"/>
        <v>0</v>
      </c>
      <c r="AE156" s="248">
        <f t="shared" si="40"/>
        <v>0</v>
      </c>
      <c r="AF156" s="153">
        <f t="shared" si="46"/>
        <v>0</v>
      </c>
      <c r="AG156" s="248">
        <f t="shared" si="41"/>
        <v>0</v>
      </c>
      <c r="AH156" s="153">
        <f t="shared" si="47"/>
        <v>0</v>
      </c>
      <c r="AI156" s="153"/>
      <c r="AJ156" s="153">
        <f t="shared" si="48"/>
        <v>0</v>
      </c>
      <c r="AK156" s="153">
        <f t="shared" si="49"/>
        <v>0</v>
      </c>
      <c r="AL156" s="153"/>
      <c r="AM156" s="153">
        <f>AK155*W155+AK156*W156</f>
        <v>0</v>
      </c>
      <c r="AN156" s="153">
        <f>(SUM(AD155:AG155)*W155+SUM(AD156:AG156)*W156)*12*VLOOKUP(C156,JNovergang,3,1)</f>
        <v>0</v>
      </c>
      <c r="AO156" s="153">
        <f>AM156-AN156</f>
        <v>0</v>
      </c>
      <c r="AP156" s="153">
        <f>M156*(100+X156)%</f>
        <v>0</v>
      </c>
      <c r="AQ156" s="248">
        <f>ROUND(M156*F156,2)</f>
        <v>0</v>
      </c>
      <c r="AS156" s="248">
        <f>ROUND((AP156+AQ156)+AM156*(N156/12),0)</f>
        <v>0</v>
      </c>
      <c r="AT156" s="248">
        <f>ROUND(AM156*(O156/12),0)</f>
        <v>0</v>
      </c>
      <c r="AU156" s="248">
        <f>ROUND(AM156*(P156/12)*U156,0)</f>
        <v>0</v>
      </c>
      <c r="AW156" s="129">
        <f t="shared" si="50"/>
        <v>0</v>
      </c>
    </row>
    <row r="157" spans="1:49" x14ac:dyDescent="0.15">
      <c r="A157" s="157"/>
      <c r="B157" s="158"/>
      <c r="C157" s="158"/>
      <c r="D157" s="149" t="str">
        <f t="shared" si="34"/>
        <v xml:space="preserve"> </v>
      </c>
      <c r="E157" s="161"/>
      <c r="F157" s="261">
        <v>0</v>
      </c>
      <c r="G157" s="161">
        <v>37</v>
      </c>
      <c r="H157" s="161">
        <v>37</v>
      </c>
      <c r="I157" s="161"/>
      <c r="J157" s="163"/>
      <c r="K157" s="161"/>
      <c r="L157" s="163"/>
      <c r="M157" s="150"/>
      <c r="N157" s="150"/>
      <c r="O157" s="150"/>
      <c r="P157" s="150"/>
      <c r="Q157" s="151"/>
      <c r="R157" s="151"/>
      <c r="S157" s="152"/>
      <c r="V157" s="129">
        <f t="shared" si="42"/>
        <v>0</v>
      </c>
      <c r="W157" s="129">
        <f t="shared" si="43"/>
        <v>0</v>
      </c>
      <c r="X157" s="129">
        <f t="shared" si="35"/>
        <v>0</v>
      </c>
      <c r="Y157" s="129">
        <f t="shared" si="44"/>
        <v>65.337800000000001</v>
      </c>
      <c r="Z157" s="153">
        <f t="shared" si="36"/>
        <v>0</v>
      </c>
      <c r="AA157" s="248">
        <f t="shared" si="37"/>
        <v>0</v>
      </c>
      <c r="AB157" s="153">
        <f t="shared" si="45"/>
        <v>0</v>
      </c>
      <c r="AC157" s="248">
        <f t="shared" si="38"/>
        <v>0</v>
      </c>
      <c r="AD157" s="153">
        <f t="shared" si="39"/>
        <v>0</v>
      </c>
      <c r="AE157" s="248">
        <f t="shared" si="40"/>
        <v>0</v>
      </c>
      <c r="AF157" s="153">
        <f t="shared" si="46"/>
        <v>0</v>
      </c>
      <c r="AG157" s="248">
        <f t="shared" si="41"/>
        <v>0</v>
      </c>
      <c r="AH157" s="153">
        <f t="shared" si="47"/>
        <v>0</v>
      </c>
      <c r="AI157" s="153"/>
      <c r="AJ157" s="153">
        <f t="shared" si="48"/>
        <v>0</v>
      </c>
      <c r="AK157" s="153">
        <f t="shared" si="49"/>
        <v>0</v>
      </c>
      <c r="AL157" s="153"/>
      <c r="AM157" s="153"/>
      <c r="AN157" s="153"/>
      <c r="AQ157" s="153"/>
      <c r="AW157" s="129">
        <f t="shared" si="50"/>
        <v>0</v>
      </c>
    </row>
    <row r="158" spans="1:49" ht="9.75" thickBot="1" x14ac:dyDescent="0.2">
      <c r="A158" s="159"/>
      <c r="B158" s="160"/>
      <c r="C158" s="160"/>
      <c r="D158" s="154" t="str">
        <f t="shared" si="34"/>
        <v xml:space="preserve"> </v>
      </c>
      <c r="E158" s="162"/>
      <c r="F158" s="262">
        <v>0</v>
      </c>
      <c r="G158" s="162">
        <v>37</v>
      </c>
      <c r="H158" s="162">
        <v>37</v>
      </c>
      <c r="I158" s="162"/>
      <c r="J158" s="164"/>
      <c r="K158" s="162"/>
      <c r="L158" s="164"/>
      <c r="M158" s="164"/>
      <c r="N158" s="162"/>
      <c r="O158" s="162"/>
      <c r="P158" s="162"/>
      <c r="Q158" s="155">
        <f>AS158</f>
        <v>0</v>
      </c>
      <c r="R158" s="155">
        <f>AT158</f>
        <v>0</v>
      </c>
      <c r="S158" s="156">
        <f>AU158</f>
        <v>0</v>
      </c>
      <c r="U158" s="129">
        <f>IF(OR(C157=5,C158=5),0,1)</f>
        <v>1</v>
      </c>
      <c r="V158" s="129">
        <f t="shared" si="42"/>
        <v>0</v>
      </c>
      <c r="W158" s="129">
        <f t="shared" si="43"/>
        <v>0</v>
      </c>
      <c r="X158" s="129">
        <f t="shared" si="35"/>
        <v>0</v>
      </c>
      <c r="Y158" s="129">
        <f t="shared" si="44"/>
        <v>65.337800000000001</v>
      </c>
      <c r="Z158" s="153">
        <f t="shared" si="36"/>
        <v>0</v>
      </c>
      <c r="AA158" s="248">
        <f t="shared" si="37"/>
        <v>0</v>
      </c>
      <c r="AB158" s="153">
        <f t="shared" si="45"/>
        <v>0</v>
      </c>
      <c r="AC158" s="248">
        <f t="shared" si="38"/>
        <v>0</v>
      </c>
      <c r="AD158" s="153">
        <f t="shared" si="39"/>
        <v>0</v>
      </c>
      <c r="AE158" s="248">
        <f t="shared" si="40"/>
        <v>0</v>
      </c>
      <c r="AF158" s="153">
        <f t="shared" si="46"/>
        <v>0</v>
      </c>
      <c r="AG158" s="248">
        <f t="shared" si="41"/>
        <v>0</v>
      </c>
      <c r="AH158" s="153">
        <f t="shared" si="47"/>
        <v>0</v>
      </c>
      <c r="AI158" s="153"/>
      <c r="AJ158" s="153">
        <f t="shared" si="48"/>
        <v>0</v>
      </c>
      <c r="AK158" s="153">
        <f t="shared" si="49"/>
        <v>0</v>
      </c>
      <c r="AL158" s="153"/>
      <c r="AM158" s="153">
        <f>AK157*W157+AK158*W158</f>
        <v>0</v>
      </c>
      <c r="AN158" s="153">
        <f>(SUM(AD157:AG157)*W157+SUM(AD158:AG158)*W158)*12*VLOOKUP(C158,JNovergang,3,1)</f>
        <v>0</v>
      </c>
      <c r="AO158" s="153">
        <f>AM158-AN158</f>
        <v>0</v>
      </c>
      <c r="AP158" s="153">
        <f>M158*(100+X158)%</f>
        <v>0</v>
      </c>
      <c r="AQ158" s="248">
        <f>ROUND(M158*F158,2)</f>
        <v>0</v>
      </c>
      <c r="AS158" s="248">
        <f>ROUND((AP158+AQ158)+AM158*(N158/12),0)</f>
        <v>0</v>
      </c>
      <c r="AT158" s="248">
        <f>ROUND(AM158*(O158/12),0)</f>
        <v>0</v>
      </c>
      <c r="AU158" s="248">
        <f>ROUND(AM158*(P158/12)*U158,0)</f>
        <v>0</v>
      </c>
      <c r="AW158" s="129">
        <f t="shared" si="50"/>
        <v>0</v>
      </c>
    </row>
    <row r="159" spans="1:49" x14ac:dyDescent="0.15">
      <c r="A159" s="157"/>
      <c r="B159" s="158"/>
      <c r="C159" s="158"/>
      <c r="D159" s="149" t="str">
        <f t="shared" si="34"/>
        <v xml:space="preserve"> </v>
      </c>
      <c r="E159" s="161"/>
      <c r="F159" s="261">
        <v>0</v>
      </c>
      <c r="G159" s="161">
        <v>37</v>
      </c>
      <c r="H159" s="161">
        <v>37</v>
      </c>
      <c r="I159" s="161"/>
      <c r="J159" s="163"/>
      <c r="K159" s="161"/>
      <c r="L159" s="163"/>
      <c r="M159" s="150"/>
      <c r="N159" s="150"/>
      <c r="O159" s="150"/>
      <c r="P159" s="150"/>
      <c r="Q159" s="151"/>
      <c r="R159" s="151"/>
      <c r="S159" s="152"/>
      <c r="V159" s="129">
        <f t="shared" si="42"/>
        <v>0</v>
      </c>
      <c r="W159" s="129">
        <f t="shared" si="43"/>
        <v>0</v>
      </c>
      <c r="X159" s="129">
        <f t="shared" si="35"/>
        <v>0</v>
      </c>
      <c r="Y159" s="129">
        <f t="shared" si="44"/>
        <v>65.337800000000001</v>
      </c>
      <c r="Z159" s="153">
        <f t="shared" si="36"/>
        <v>0</v>
      </c>
      <c r="AA159" s="248">
        <f t="shared" si="37"/>
        <v>0</v>
      </c>
      <c r="AB159" s="153">
        <f t="shared" si="45"/>
        <v>0</v>
      </c>
      <c r="AC159" s="248">
        <f t="shared" si="38"/>
        <v>0</v>
      </c>
      <c r="AD159" s="153">
        <f t="shared" si="39"/>
        <v>0</v>
      </c>
      <c r="AE159" s="248">
        <f t="shared" si="40"/>
        <v>0</v>
      </c>
      <c r="AF159" s="153">
        <f t="shared" si="46"/>
        <v>0</v>
      </c>
      <c r="AG159" s="248">
        <f t="shared" si="41"/>
        <v>0</v>
      </c>
      <c r="AH159" s="153">
        <f t="shared" si="47"/>
        <v>0</v>
      </c>
      <c r="AI159" s="153"/>
      <c r="AJ159" s="153">
        <f t="shared" si="48"/>
        <v>0</v>
      </c>
      <c r="AK159" s="153">
        <f t="shared" si="49"/>
        <v>0</v>
      </c>
      <c r="AL159" s="153"/>
      <c r="AM159" s="153"/>
      <c r="AN159" s="153"/>
      <c r="AQ159" s="153"/>
      <c r="AW159" s="129">
        <f t="shared" si="50"/>
        <v>0</v>
      </c>
    </row>
    <row r="160" spans="1:49" ht="9.75" thickBot="1" x14ac:dyDescent="0.2">
      <c r="A160" s="159"/>
      <c r="B160" s="160"/>
      <c r="C160" s="160"/>
      <c r="D160" s="154" t="str">
        <f t="shared" si="34"/>
        <v xml:space="preserve"> </v>
      </c>
      <c r="E160" s="162"/>
      <c r="F160" s="262">
        <v>0</v>
      </c>
      <c r="G160" s="162">
        <v>37</v>
      </c>
      <c r="H160" s="162">
        <v>37</v>
      </c>
      <c r="I160" s="162"/>
      <c r="J160" s="164"/>
      <c r="K160" s="162"/>
      <c r="L160" s="164"/>
      <c r="M160" s="164"/>
      <c r="N160" s="162"/>
      <c r="O160" s="162"/>
      <c r="P160" s="162"/>
      <c r="Q160" s="155">
        <f>AS160</f>
        <v>0</v>
      </c>
      <c r="R160" s="155">
        <f>AT160</f>
        <v>0</v>
      </c>
      <c r="S160" s="156">
        <f>AU160</f>
        <v>0</v>
      </c>
      <c r="U160" s="129">
        <f>IF(OR(C159=5,C160=5),0,1)</f>
        <v>1</v>
      </c>
      <c r="V160" s="129">
        <f t="shared" si="42"/>
        <v>0</v>
      </c>
      <c r="W160" s="129">
        <f t="shared" si="43"/>
        <v>0</v>
      </c>
      <c r="X160" s="129">
        <f t="shared" si="35"/>
        <v>0</v>
      </c>
      <c r="Y160" s="129">
        <f t="shared" si="44"/>
        <v>65.337800000000001</v>
      </c>
      <c r="Z160" s="153">
        <f t="shared" si="36"/>
        <v>0</v>
      </c>
      <c r="AA160" s="248">
        <f t="shared" si="37"/>
        <v>0</v>
      </c>
      <c r="AB160" s="153">
        <f t="shared" si="45"/>
        <v>0</v>
      </c>
      <c r="AC160" s="248">
        <f t="shared" si="38"/>
        <v>0</v>
      </c>
      <c r="AD160" s="153">
        <f t="shared" si="39"/>
        <v>0</v>
      </c>
      <c r="AE160" s="248">
        <f t="shared" si="40"/>
        <v>0</v>
      </c>
      <c r="AF160" s="153">
        <f t="shared" si="46"/>
        <v>0</v>
      </c>
      <c r="AG160" s="248">
        <f t="shared" si="41"/>
        <v>0</v>
      </c>
      <c r="AH160" s="153">
        <f t="shared" si="47"/>
        <v>0</v>
      </c>
      <c r="AI160" s="153"/>
      <c r="AJ160" s="153">
        <f t="shared" si="48"/>
        <v>0</v>
      </c>
      <c r="AK160" s="153">
        <f t="shared" si="49"/>
        <v>0</v>
      </c>
      <c r="AL160" s="153"/>
      <c r="AM160" s="153">
        <f>AK159*W159+AK160*W160</f>
        <v>0</v>
      </c>
      <c r="AN160" s="153">
        <f>(SUM(AD159:AG159)*W159+SUM(AD160:AG160)*W160)*12*VLOOKUP(C160,JNovergang,3,1)</f>
        <v>0</v>
      </c>
      <c r="AO160" s="153">
        <f>AM160-AN160</f>
        <v>0</v>
      </c>
      <c r="AP160" s="153">
        <f>M160*(100+X160)%</f>
        <v>0</v>
      </c>
      <c r="AQ160" s="248">
        <f>ROUND(M160*F160,2)</f>
        <v>0</v>
      </c>
      <c r="AS160" s="248">
        <f>ROUND((AP160+AQ160)+AM160*(N160/12),0)</f>
        <v>0</v>
      </c>
      <c r="AT160" s="248">
        <f>ROUND(AM160*(O160/12),0)</f>
        <v>0</v>
      </c>
      <c r="AU160" s="248">
        <f>ROUND(AM160*(P160/12)*U160,0)</f>
        <v>0</v>
      </c>
      <c r="AW160" s="129">
        <f t="shared" si="50"/>
        <v>0</v>
      </c>
    </row>
    <row r="161" spans="1:49" x14ac:dyDescent="0.15">
      <c r="A161" s="157"/>
      <c r="B161" s="158"/>
      <c r="C161" s="158"/>
      <c r="D161" s="149" t="str">
        <f t="shared" si="34"/>
        <v xml:space="preserve"> </v>
      </c>
      <c r="E161" s="161"/>
      <c r="F161" s="261">
        <v>0</v>
      </c>
      <c r="G161" s="161">
        <v>37</v>
      </c>
      <c r="H161" s="161">
        <v>37</v>
      </c>
      <c r="I161" s="161"/>
      <c r="J161" s="163"/>
      <c r="K161" s="161"/>
      <c r="L161" s="163"/>
      <c r="M161" s="150"/>
      <c r="N161" s="150"/>
      <c r="O161" s="150"/>
      <c r="P161" s="150"/>
      <c r="Q161" s="151"/>
      <c r="R161" s="151"/>
      <c r="S161" s="152"/>
      <c r="V161" s="129">
        <f t="shared" si="42"/>
        <v>0</v>
      </c>
      <c r="W161" s="129">
        <f t="shared" si="43"/>
        <v>0</v>
      </c>
      <c r="X161" s="129">
        <f t="shared" si="35"/>
        <v>0</v>
      </c>
      <c r="Y161" s="129">
        <f t="shared" si="44"/>
        <v>65.337800000000001</v>
      </c>
      <c r="Z161" s="153">
        <f t="shared" si="36"/>
        <v>0</v>
      </c>
      <c r="AA161" s="248">
        <f t="shared" si="37"/>
        <v>0</v>
      </c>
      <c r="AB161" s="153">
        <f t="shared" si="45"/>
        <v>0</v>
      </c>
      <c r="AC161" s="248">
        <f t="shared" si="38"/>
        <v>0</v>
      </c>
      <c r="AD161" s="153">
        <f t="shared" si="39"/>
        <v>0</v>
      </c>
      <c r="AE161" s="248">
        <f t="shared" si="40"/>
        <v>0</v>
      </c>
      <c r="AF161" s="153">
        <f t="shared" si="46"/>
        <v>0</v>
      </c>
      <c r="AG161" s="248">
        <f t="shared" si="41"/>
        <v>0</v>
      </c>
      <c r="AH161" s="153">
        <f t="shared" si="47"/>
        <v>0</v>
      </c>
      <c r="AI161" s="153"/>
      <c r="AJ161" s="153">
        <f t="shared" si="48"/>
        <v>0</v>
      </c>
      <c r="AK161" s="153">
        <f t="shared" si="49"/>
        <v>0</v>
      </c>
      <c r="AL161" s="153"/>
      <c r="AM161" s="153"/>
      <c r="AN161" s="153"/>
      <c r="AQ161" s="153"/>
      <c r="AW161" s="129">
        <f t="shared" si="50"/>
        <v>0</v>
      </c>
    </row>
    <row r="162" spans="1:49" ht="9.75" thickBot="1" x14ac:dyDescent="0.2">
      <c r="A162" s="159"/>
      <c r="B162" s="160"/>
      <c r="C162" s="160"/>
      <c r="D162" s="154" t="str">
        <f t="shared" si="34"/>
        <v xml:space="preserve"> </v>
      </c>
      <c r="E162" s="162"/>
      <c r="F162" s="262">
        <v>0</v>
      </c>
      <c r="G162" s="162">
        <v>37</v>
      </c>
      <c r="H162" s="162">
        <v>37</v>
      </c>
      <c r="I162" s="162"/>
      <c r="J162" s="164"/>
      <c r="K162" s="162"/>
      <c r="L162" s="164"/>
      <c r="M162" s="164"/>
      <c r="N162" s="162"/>
      <c r="O162" s="162"/>
      <c r="P162" s="162"/>
      <c r="Q162" s="155">
        <f>AS162</f>
        <v>0</v>
      </c>
      <c r="R162" s="155">
        <f>AT162</f>
        <v>0</v>
      </c>
      <c r="S162" s="156">
        <f>AU162</f>
        <v>0</v>
      </c>
      <c r="U162" s="129">
        <f>IF(OR(C161=5,C162=5),0,1)</f>
        <v>1</v>
      </c>
      <c r="V162" s="129">
        <f t="shared" si="42"/>
        <v>0</v>
      </c>
      <c r="W162" s="129">
        <f t="shared" si="43"/>
        <v>0</v>
      </c>
      <c r="X162" s="129">
        <f t="shared" si="35"/>
        <v>0</v>
      </c>
      <c r="Y162" s="129">
        <f t="shared" si="44"/>
        <v>65.337800000000001</v>
      </c>
      <c r="Z162" s="153">
        <f t="shared" si="36"/>
        <v>0</v>
      </c>
      <c r="AA162" s="248">
        <f t="shared" si="37"/>
        <v>0</v>
      </c>
      <c r="AB162" s="153">
        <f t="shared" si="45"/>
        <v>0</v>
      </c>
      <c r="AC162" s="248">
        <f t="shared" si="38"/>
        <v>0</v>
      </c>
      <c r="AD162" s="153">
        <f t="shared" si="39"/>
        <v>0</v>
      </c>
      <c r="AE162" s="248">
        <f t="shared" si="40"/>
        <v>0</v>
      </c>
      <c r="AF162" s="153">
        <f t="shared" si="46"/>
        <v>0</v>
      </c>
      <c r="AG162" s="248">
        <f t="shared" si="41"/>
        <v>0</v>
      </c>
      <c r="AH162" s="153">
        <f t="shared" si="47"/>
        <v>0</v>
      </c>
      <c r="AI162" s="153"/>
      <c r="AJ162" s="153">
        <f t="shared" si="48"/>
        <v>0</v>
      </c>
      <c r="AK162" s="153">
        <f t="shared" si="49"/>
        <v>0</v>
      </c>
      <c r="AL162" s="153"/>
      <c r="AM162" s="153">
        <f>AK161*W161+AK162*W162</f>
        <v>0</v>
      </c>
      <c r="AN162" s="153">
        <f>(SUM(AD161:AG161)*W161+SUM(AD162:AG162)*W162)*12*VLOOKUP(C162,JNovergang,3,1)</f>
        <v>0</v>
      </c>
      <c r="AO162" s="153">
        <f>AM162-AN162</f>
        <v>0</v>
      </c>
      <c r="AP162" s="153">
        <f>M162*(100+X162)%</f>
        <v>0</v>
      </c>
      <c r="AQ162" s="248">
        <f>ROUND(M162*F162,2)</f>
        <v>0</v>
      </c>
      <c r="AS162" s="248">
        <f>ROUND((AP162+AQ162)+AM162*(N162/12),0)</f>
        <v>0</v>
      </c>
      <c r="AT162" s="248">
        <f>ROUND(AM162*(O162/12),0)</f>
        <v>0</v>
      </c>
      <c r="AU162" s="248">
        <f>ROUND(AM162*(P162/12)*U162,0)</f>
        <v>0</v>
      </c>
      <c r="AW162" s="129">
        <f t="shared" si="50"/>
        <v>0</v>
      </c>
    </row>
    <row r="163" spans="1:49" x14ac:dyDescent="0.15">
      <c r="A163" s="157"/>
      <c r="B163" s="158"/>
      <c r="C163" s="158"/>
      <c r="D163" s="149" t="str">
        <f t="shared" si="34"/>
        <v xml:space="preserve"> </v>
      </c>
      <c r="E163" s="161"/>
      <c r="F163" s="261">
        <v>0</v>
      </c>
      <c r="G163" s="161">
        <v>37</v>
      </c>
      <c r="H163" s="161">
        <v>37</v>
      </c>
      <c r="I163" s="161"/>
      <c r="J163" s="163"/>
      <c r="K163" s="161"/>
      <c r="L163" s="163"/>
      <c r="M163" s="150"/>
      <c r="N163" s="150"/>
      <c r="O163" s="150"/>
      <c r="P163" s="150"/>
      <c r="Q163" s="151"/>
      <c r="R163" s="151"/>
      <c r="S163" s="152"/>
      <c r="V163" s="129">
        <f t="shared" si="42"/>
        <v>0</v>
      </c>
      <c r="W163" s="129">
        <f t="shared" si="43"/>
        <v>0</v>
      </c>
      <c r="X163" s="129">
        <f t="shared" si="35"/>
        <v>0</v>
      </c>
      <c r="Y163" s="129">
        <f t="shared" si="44"/>
        <v>65.337800000000001</v>
      </c>
      <c r="Z163" s="153">
        <f t="shared" si="36"/>
        <v>0</v>
      </c>
      <c r="AA163" s="248">
        <f t="shared" si="37"/>
        <v>0</v>
      </c>
      <c r="AB163" s="153">
        <f t="shared" si="45"/>
        <v>0</v>
      </c>
      <c r="AC163" s="248">
        <f t="shared" si="38"/>
        <v>0</v>
      </c>
      <c r="AD163" s="153">
        <f t="shared" si="39"/>
        <v>0</v>
      </c>
      <c r="AE163" s="248">
        <f t="shared" si="40"/>
        <v>0</v>
      </c>
      <c r="AF163" s="153">
        <f t="shared" si="46"/>
        <v>0</v>
      </c>
      <c r="AG163" s="248">
        <f t="shared" si="41"/>
        <v>0</v>
      </c>
      <c r="AH163" s="153">
        <f t="shared" si="47"/>
        <v>0</v>
      </c>
      <c r="AI163" s="153"/>
      <c r="AJ163" s="153">
        <f t="shared" si="48"/>
        <v>0</v>
      </c>
      <c r="AK163" s="153">
        <f t="shared" si="49"/>
        <v>0</v>
      </c>
      <c r="AL163" s="153"/>
      <c r="AM163" s="153"/>
      <c r="AN163" s="153"/>
      <c r="AQ163" s="153"/>
      <c r="AW163" s="129">
        <f t="shared" si="50"/>
        <v>0</v>
      </c>
    </row>
    <row r="164" spans="1:49" ht="9.75" thickBot="1" x14ac:dyDescent="0.2">
      <c r="A164" s="159"/>
      <c r="B164" s="160"/>
      <c r="C164" s="160"/>
      <c r="D164" s="154" t="str">
        <f t="shared" si="34"/>
        <v xml:space="preserve"> </v>
      </c>
      <c r="E164" s="162"/>
      <c r="F164" s="262">
        <v>0</v>
      </c>
      <c r="G164" s="162">
        <v>37</v>
      </c>
      <c r="H164" s="162">
        <v>37</v>
      </c>
      <c r="I164" s="162"/>
      <c r="J164" s="164"/>
      <c r="K164" s="162"/>
      <c r="L164" s="164"/>
      <c r="M164" s="164"/>
      <c r="N164" s="162"/>
      <c r="O164" s="162"/>
      <c r="P164" s="162"/>
      <c r="Q164" s="155">
        <f>AS164</f>
        <v>0</v>
      </c>
      <c r="R164" s="155">
        <f>AT164</f>
        <v>0</v>
      </c>
      <c r="S164" s="156">
        <f>AU164</f>
        <v>0</v>
      </c>
      <c r="U164" s="129">
        <f>IF(OR(C163=5,C164=5),0,1)</f>
        <v>1</v>
      </c>
      <c r="V164" s="129">
        <f t="shared" si="42"/>
        <v>0</v>
      </c>
      <c r="W164" s="129">
        <f t="shared" si="43"/>
        <v>0</v>
      </c>
      <c r="X164" s="129">
        <f t="shared" si="35"/>
        <v>0</v>
      </c>
      <c r="Y164" s="129">
        <f t="shared" si="44"/>
        <v>65.337800000000001</v>
      </c>
      <c r="Z164" s="153">
        <f t="shared" si="36"/>
        <v>0</v>
      </c>
      <c r="AA164" s="248">
        <f t="shared" si="37"/>
        <v>0</v>
      </c>
      <c r="AB164" s="153">
        <f t="shared" si="45"/>
        <v>0</v>
      </c>
      <c r="AC164" s="248">
        <f t="shared" si="38"/>
        <v>0</v>
      </c>
      <c r="AD164" s="153">
        <f t="shared" si="39"/>
        <v>0</v>
      </c>
      <c r="AE164" s="248">
        <f t="shared" si="40"/>
        <v>0</v>
      </c>
      <c r="AF164" s="153">
        <f t="shared" si="46"/>
        <v>0</v>
      </c>
      <c r="AG164" s="248">
        <f t="shared" si="41"/>
        <v>0</v>
      </c>
      <c r="AH164" s="153">
        <f t="shared" si="47"/>
        <v>0</v>
      </c>
      <c r="AI164" s="153"/>
      <c r="AJ164" s="153">
        <f t="shared" si="48"/>
        <v>0</v>
      </c>
      <c r="AK164" s="153">
        <f t="shared" si="49"/>
        <v>0</v>
      </c>
      <c r="AL164" s="153"/>
      <c r="AM164" s="153">
        <f>AK163*W163+AK164*W164</f>
        <v>0</v>
      </c>
      <c r="AN164" s="153">
        <f>(SUM(AD163:AG163)*W163+SUM(AD164:AG164)*W164)*12*VLOOKUP(C164,JNovergang,3,1)</f>
        <v>0</v>
      </c>
      <c r="AO164" s="153">
        <f>AM164-AN164</f>
        <v>0</v>
      </c>
      <c r="AP164" s="153">
        <f>M164*(100+X164)%</f>
        <v>0</v>
      </c>
      <c r="AQ164" s="248">
        <f>ROUND(M164*F164,2)</f>
        <v>0</v>
      </c>
      <c r="AS164" s="248">
        <f>ROUND((AP164+AQ164)+AM164*(N164/12),0)</f>
        <v>0</v>
      </c>
      <c r="AT164" s="248">
        <f>ROUND(AM164*(O164/12),0)</f>
        <v>0</v>
      </c>
      <c r="AU164" s="248">
        <f>ROUND(AM164*(P164/12)*U164,0)</f>
        <v>0</v>
      </c>
      <c r="AW164" s="129">
        <f t="shared" si="50"/>
        <v>0</v>
      </c>
    </row>
    <row r="165" spans="1:49" x14ac:dyDescent="0.15">
      <c r="A165" s="157"/>
      <c r="B165" s="158"/>
      <c r="C165" s="158"/>
      <c r="D165" s="149" t="str">
        <f t="shared" si="34"/>
        <v xml:space="preserve"> </v>
      </c>
      <c r="E165" s="161"/>
      <c r="F165" s="261">
        <v>0</v>
      </c>
      <c r="G165" s="161">
        <v>37</v>
      </c>
      <c r="H165" s="161">
        <v>37</v>
      </c>
      <c r="I165" s="161"/>
      <c r="J165" s="163"/>
      <c r="K165" s="161"/>
      <c r="L165" s="163"/>
      <c r="M165" s="150"/>
      <c r="N165" s="150"/>
      <c r="O165" s="150"/>
      <c r="P165" s="150"/>
      <c r="Q165" s="151"/>
      <c r="R165" s="151"/>
      <c r="S165" s="152"/>
      <c r="V165" s="129">
        <f t="shared" si="42"/>
        <v>0</v>
      </c>
      <c r="W165" s="129">
        <f t="shared" si="43"/>
        <v>0</v>
      </c>
      <c r="X165" s="129">
        <f t="shared" si="35"/>
        <v>0</v>
      </c>
      <c r="Y165" s="129">
        <f t="shared" si="44"/>
        <v>65.337800000000001</v>
      </c>
      <c r="Z165" s="153">
        <f t="shared" si="36"/>
        <v>0</v>
      </c>
      <c r="AA165" s="248">
        <f t="shared" si="37"/>
        <v>0</v>
      </c>
      <c r="AB165" s="153">
        <f t="shared" si="45"/>
        <v>0</v>
      </c>
      <c r="AC165" s="248">
        <f t="shared" si="38"/>
        <v>0</v>
      </c>
      <c r="AD165" s="153">
        <f t="shared" si="39"/>
        <v>0</v>
      </c>
      <c r="AE165" s="248">
        <f t="shared" si="40"/>
        <v>0</v>
      </c>
      <c r="AF165" s="153">
        <f t="shared" si="46"/>
        <v>0</v>
      </c>
      <c r="AG165" s="248">
        <f t="shared" si="41"/>
        <v>0</v>
      </c>
      <c r="AH165" s="153">
        <f t="shared" si="47"/>
        <v>0</v>
      </c>
      <c r="AI165" s="153"/>
      <c r="AJ165" s="153">
        <f t="shared" si="48"/>
        <v>0</v>
      </c>
      <c r="AK165" s="153">
        <f t="shared" si="49"/>
        <v>0</v>
      </c>
      <c r="AL165" s="153"/>
      <c r="AM165" s="153"/>
      <c r="AN165" s="153"/>
      <c r="AQ165" s="153"/>
      <c r="AW165" s="129">
        <f t="shared" si="50"/>
        <v>0</v>
      </c>
    </row>
    <row r="166" spans="1:49" ht="9.75" thickBot="1" x14ac:dyDescent="0.2">
      <c r="A166" s="159"/>
      <c r="B166" s="160"/>
      <c r="C166" s="160"/>
      <c r="D166" s="154" t="str">
        <f t="shared" si="34"/>
        <v xml:space="preserve"> </v>
      </c>
      <c r="E166" s="162"/>
      <c r="F166" s="262">
        <v>0</v>
      </c>
      <c r="G166" s="162">
        <v>37</v>
      </c>
      <c r="H166" s="162">
        <v>37</v>
      </c>
      <c r="I166" s="162"/>
      <c r="J166" s="164"/>
      <c r="K166" s="162"/>
      <c r="L166" s="164"/>
      <c r="M166" s="164"/>
      <c r="N166" s="162"/>
      <c r="O166" s="162"/>
      <c r="P166" s="162"/>
      <c r="Q166" s="155">
        <f>AS166</f>
        <v>0</v>
      </c>
      <c r="R166" s="155">
        <f>AT166</f>
        <v>0</v>
      </c>
      <c r="S166" s="156">
        <f>AU166</f>
        <v>0</v>
      </c>
      <c r="U166" s="129">
        <f>IF(OR(C165=5,C166=5),0,1)</f>
        <v>1</v>
      </c>
      <c r="V166" s="129">
        <f t="shared" si="42"/>
        <v>0</v>
      </c>
      <c r="W166" s="129">
        <f t="shared" si="43"/>
        <v>0</v>
      </c>
      <c r="X166" s="129">
        <f t="shared" si="35"/>
        <v>0</v>
      </c>
      <c r="Y166" s="129">
        <f t="shared" si="44"/>
        <v>65.337800000000001</v>
      </c>
      <c r="Z166" s="153">
        <f t="shared" si="36"/>
        <v>0</v>
      </c>
      <c r="AA166" s="248">
        <f t="shared" si="37"/>
        <v>0</v>
      </c>
      <c r="AB166" s="153">
        <f t="shared" si="45"/>
        <v>0</v>
      </c>
      <c r="AC166" s="248">
        <f t="shared" si="38"/>
        <v>0</v>
      </c>
      <c r="AD166" s="153">
        <f t="shared" si="39"/>
        <v>0</v>
      </c>
      <c r="AE166" s="248">
        <f t="shared" si="40"/>
        <v>0</v>
      </c>
      <c r="AF166" s="153">
        <f t="shared" si="46"/>
        <v>0</v>
      </c>
      <c r="AG166" s="248">
        <f t="shared" si="41"/>
        <v>0</v>
      </c>
      <c r="AH166" s="153">
        <f t="shared" si="47"/>
        <v>0</v>
      </c>
      <c r="AI166" s="153"/>
      <c r="AJ166" s="153">
        <f t="shared" si="48"/>
        <v>0</v>
      </c>
      <c r="AK166" s="153">
        <f t="shared" si="49"/>
        <v>0</v>
      </c>
      <c r="AL166" s="153"/>
      <c r="AM166" s="153">
        <f>AK165*W165+AK166*W166</f>
        <v>0</v>
      </c>
      <c r="AN166" s="153">
        <f>(SUM(AD165:AG165)*W165+SUM(AD166:AG166)*W166)*12*VLOOKUP(C166,JNovergang,3,1)</f>
        <v>0</v>
      </c>
      <c r="AO166" s="153">
        <f>AM166-AN166</f>
        <v>0</v>
      </c>
      <c r="AP166" s="153">
        <f>M166*(100+X166)%</f>
        <v>0</v>
      </c>
      <c r="AQ166" s="248">
        <f>ROUND(M166*F166,2)</f>
        <v>0</v>
      </c>
      <c r="AS166" s="248">
        <f>ROUND((AP166+AQ166)+AM166*(N166/12),0)</f>
        <v>0</v>
      </c>
      <c r="AT166" s="248">
        <f>ROUND(AM166*(O166/12),0)</f>
        <v>0</v>
      </c>
      <c r="AU166" s="248">
        <f>ROUND(AM166*(P166/12)*U166,0)</f>
        <v>0</v>
      </c>
      <c r="AW166" s="129">
        <f t="shared" si="50"/>
        <v>0</v>
      </c>
    </row>
    <row r="167" spans="1:49" x14ac:dyDescent="0.15">
      <c r="A167" s="157"/>
      <c r="B167" s="158"/>
      <c r="C167" s="158"/>
      <c r="D167" s="149" t="str">
        <f t="shared" si="34"/>
        <v xml:space="preserve"> </v>
      </c>
      <c r="E167" s="161"/>
      <c r="F167" s="261">
        <v>0</v>
      </c>
      <c r="G167" s="161">
        <v>37</v>
      </c>
      <c r="H167" s="161">
        <v>37</v>
      </c>
      <c r="I167" s="161"/>
      <c r="J167" s="163"/>
      <c r="K167" s="161"/>
      <c r="L167" s="163"/>
      <c r="M167" s="150"/>
      <c r="N167" s="150"/>
      <c r="O167" s="150"/>
      <c r="P167" s="150"/>
      <c r="Q167" s="151"/>
      <c r="R167" s="151"/>
      <c r="S167" s="152"/>
      <c r="V167" s="129">
        <f t="shared" si="42"/>
        <v>0</v>
      </c>
      <c r="W167" s="129">
        <f t="shared" si="43"/>
        <v>0</v>
      </c>
      <c r="X167" s="129">
        <f t="shared" si="35"/>
        <v>0</v>
      </c>
      <c r="Y167" s="129">
        <f t="shared" si="44"/>
        <v>65.337800000000001</v>
      </c>
      <c r="Z167" s="153">
        <f t="shared" si="36"/>
        <v>0</v>
      </c>
      <c r="AA167" s="248">
        <f t="shared" si="37"/>
        <v>0</v>
      </c>
      <c r="AB167" s="153">
        <f t="shared" si="45"/>
        <v>0</v>
      </c>
      <c r="AC167" s="248">
        <f t="shared" si="38"/>
        <v>0</v>
      </c>
      <c r="AD167" s="153">
        <f t="shared" si="39"/>
        <v>0</v>
      </c>
      <c r="AE167" s="248">
        <f t="shared" si="40"/>
        <v>0</v>
      </c>
      <c r="AF167" s="153">
        <f t="shared" si="46"/>
        <v>0</v>
      </c>
      <c r="AG167" s="248">
        <f t="shared" si="41"/>
        <v>0</v>
      </c>
      <c r="AH167" s="153">
        <f t="shared" si="47"/>
        <v>0</v>
      </c>
      <c r="AI167" s="153"/>
      <c r="AJ167" s="153">
        <f t="shared" si="48"/>
        <v>0</v>
      </c>
      <c r="AK167" s="153">
        <f t="shared" si="49"/>
        <v>0</v>
      </c>
      <c r="AL167" s="153"/>
      <c r="AM167" s="153"/>
      <c r="AN167" s="153"/>
      <c r="AQ167" s="153"/>
      <c r="AW167" s="129">
        <f t="shared" si="50"/>
        <v>0</v>
      </c>
    </row>
    <row r="168" spans="1:49" ht="9.75" thickBot="1" x14ac:dyDescent="0.2">
      <c r="A168" s="159"/>
      <c r="B168" s="160"/>
      <c r="C168" s="160"/>
      <c r="D168" s="154" t="str">
        <f t="shared" si="34"/>
        <v xml:space="preserve"> </v>
      </c>
      <c r="E168" s="162"/>
      <c r="F168" s="262">
        <v>0</v>
      </c>
      <c r="G168" s="162">
        <v>37</v>
      </c>
      <c r="H168" s="162">
        <v>37</v>
      </c>
      <c r="I168" s="162"/>
      <c r="J168" s="164"/>
      <c r="K168" s="162"/>
      <c r="L168" s="164"/>
      <c r="M168" s="164"/>
      <c r="N168" s="162"/>
      <c r="O168" s="162"/>
      <c r="P168" s="162"/>
      <c r="Q168" s="155">
        <f>AS168</f>
        <v>0</v>
      </c>
      <c r="R168" s="155">
        <f>AT168</f>
        <v>0</v>
      </c>
      <c r="S168" s="156">
        <f>AU168</f>
        <v>0</v>
      </c>
      <c r="U168" s="129">
        <f>IF(OR(C167=5,C168=5),0,1)</f>
        <v>1</v>
      </c>
      <c r="V168" s="129">
        <f t="shared" si="42"/>
        <v>0</v>
      </c>
      <c r="W168" s="129">
        <f t="shared" si="43"/>
        <v>0</v>
      </c>
      <c r="X168" s="129">
        <f t="shared" si="35"/>
        <v>0</v>
      </c>
      <c r="Y168" s="129">
        <f t="shared" si="44"/>
        <v>65.337800000000001</v>
      </c>
      <c r="Z168" s="153">
        <f t="shared" si="36"/>
        <v>0</v>
      </c>
      <c r="AA168" s="248">
        <f t="shared" si="37"/>
        <v>0</v>
      </c>
      <c r="AB168" s="153">
        <f t="shared" si="45"/>
        <v>0</v>
      </c>
      <c r="AC168" s="248">
        <f t="shared" si="38"/>
        <v>0</v>
      </c>
      <c r="AD168" s="153">
        <f t="shared" si="39"/>
        <v>0</v>
      </c>
      <c r="AE168" s="248">
        <f t="shared" si="40"/>
        <v>0</v>
      </c>
      <c r="AF168" s="153">
        <f t="shared" si="46"/>
        <v>0</v>
      </c>
      <c r="AG168" s="248">
        <f t="shared" si="41"/>
        <v>0</v>
      </c>
      <c r="AH168" s="153">
        <f t="shared" si="47"/>
        <v>0</v>
      </c>
      <c r="AI168" s="153"/>
      <c r="AJ168" s="153">
        <f t="shared" si="48"/>
        <v>0</v>
      </c>
      <c r="AK168" s="153">
        <f t="shared" si="49"/>
        <v>0</v>
      </c>
      <c r="AL168" s="153"/>
      <c r="AM168" s="153">
        <f>AK167*W167+AK168*W168</f>
        <v>0</v>
      </c>
      <c r="AN168" s="153">
        <f>(SUM(AD167:AG167)*W167+SUM(AD168:AG168)*W168)*12*VLOOKUP(C168,JNovergang,3,1)</f>
        <v>0</v>
      </c>
      <c r="AO168" s="153">
        <f>AM168-AN168</f>
        <v>0</v>
      </c>
      <c r="AP168" s="153">
        <f>M168*(100+X168)%</f>
        <v>0</v>
      </c>
      <c r="AQ168" s="248">
        <f>ROUND(M168*F168,2)</f>
        <v>0</v>
      </c>
      <c r="AS168" s="248">
        <f>ROUND((AP168+AQ168)+AM168*(N168/12),0)</f>
        <v>0</v>
      </c>
      <c r="AT168" s="248">
        <f>ROUND(AM168*(O168/12),0)</f>
        <v>0</v>
      </c>
      <c r="AU168" s="248">
        <f>ROUND(AM168*(P168/12)*U168,0)</f>
        <v>0</v>
      </c>
      <c r="AW168" s="129">
        <f t="shared" si="50"/>
        <v>0</v>
      </c>
    </row>
    <row r="169" spans="1:49" x14ac:dyDescent="0.15">
      <c r="A169" s="157"/>
      <c r="B169" s="158"/>
      <c r="C169" s="158"/>
      <c r="D169" s="149" t="str">
        <f t="shared" si="34"/>
        <v xml:space="preserve"> </v>
      </c>
      <c r="E169" s="161"/>
      <c r="F169" s="261">
        <v>0</v>
      </c>
      <c r="G169" s="161">
        <v>37</v>
      </c>
      <c r="H169" s="161">
        <v>37</v>
      </c>
      <c r="I169" s="161"/>
      <c r="J169" s="163"/>
      <c r="K169" s="161"/>
      <c r="L169" s="163"/>
      <c r="M169" s="150"/>
      <c r="N169" s="150"/>
      <c r="O169" s="150"/>
      <c r="P169" s="150"/>
      <c r="Q169" s="151"/>
      <c r="R169" s="151"/>
      <c r="S169" s="152"/>
      <c r="V169" s="129">
        <f t="shared" si="42"/>
        <v>0</v>
      </c>
      <c r="W169" s="129">
        <f t="shared" si="43"/>
        <v>0</v>
      </c>
      <c r="X169" s="129">
        <f t="shared" si="35"/>
        <v>0</v>
      </c>
      <c r="Y169" s="129">
        <f t="shared" si="44"/>
        <v>65.337800000000001</v>
      </c>
      <c r="Z169" s="153">
        <f t="shared" si="36"/>
        <v>0</v>
      </c>
      <c r="AA169" s="248">
        <f t="shared" si="37"/>
        <v>0</v>
      </c>
      <c r="AB169" s="153">
        <f t="shared" si="45"/>
        <v>0</v>
      </c>
      <c r="AC169" s="248">
        <f t="shared" si="38"/>
        <v>0</v>
      </c>
      <c r="AD169" s="153">
        <f t="shared" si="39"/>
        <v>0</v>
      </c>
      <c r="AE169" s="248">
        <f t="shared" si="40"/>
        <v>0</v>
      </c>
      <c r="AF169" s="153">
        <f t="shared" si="46"/>
        <v>0</v>
      </c>
      <c r="AG169" s="248">
        <f t="shared" si="41"/>
        <v>0</v>
      </c>
      <c r="AH169" s="153">
        <f t="shared" si="47"/>
        <v>0</v>
      </c>
      <c r="AI169" s="153"/>
      <c r="AJ169" s="153">
        <f t="shared" si="48"/>
        <v>0</v>
      </c>
      <c r="AK169" s="153">
        <f t="shared" si="49"/>
        <v>0</v>
      </c>
      <c r="AL169" s="153"/>
      <c r="AM169" s="153"/>
      <c r="AN169" s="153"/>
      <c r="AQ169" s="153"/>
      <c r="AW169" s="129">
        <f t="shared" si="50"/>
        <v>0</v>
      </c>
    </row>
    <row r="170" spans="1:49" ht="9.75" thickBot="1" x14ac:dyDescent="0.2">
      <c r="A170" s="159"/>
      <c r="B170" s="160"/>
      <c r="C170" s="160"/>
      <c r="D170" s="154" t="str">
        <f t="shared" si="34"/>
        <v xml:space="preserve"> </v>
      </c>
      <c r="E170" s="162"/>
      <c r="F170" s="262">
        <v>0</v>
      </c>
      <c r="G170" s="162">
        <v>37</v>
      </c>
      <c r="H170" s="162">
        <v>37</v>
      </c>
      <c r="I170" s="162"/>
      <c r="J170" s="164"/>
      <c r="K170" s="162"/>
      <c r="L170" s="164"/>
      <c r="M170" s="164"/>
      <c r="N170" s="162"/>
      <c r="O170" s="162"/>
      <c r="P170" s="162"/>
      <c r="Q170" s="155">
        <f>AS170</f>
        <v>0</v>
      </c>
      <c r="R170" s="155">
        <f>AT170</f>
        <v>0</v>
      </c>
      <c r="S170" s="156">
        <f>AU170</f>
        <v>0</v>
      </c>
      <c r="U170" s="129">
        <f>IF(OR(C169=5,C170=5),0,1)</f>
        <v>1</v>
      </c>
      <c r="V170" s="129">
        <f t="shared" si="42"/>
        <v>0</v>
      </c>
      <c r="W170" s="129">
        <f t="shared" si="43"/>
        <v>0</v>
      </c>
      <c r="X170" s="129">
        <f t="shared" si="35"/>
        <v>0</v>
      </c>
      <c r="Y170" s="129">
        <f t="shared" si="44"/>
        <v>65.337800000000001</v>
      </c>
      <c r="Z170" s="153">
        <f t="shared" si="36"/>
        <v>0</v>
      </c>
      <c r="AA170" s="248">
        <f t="shared" si="37"/>
        <v>0</v>
      </c>
      <c r="AB170" s="153">
        <f t="shared" si="45"/>
        <v>0</v>
      </c>
      <c r="AC170" s="248">
        <f t="shared" si="38"/>
        <v>0</v>
      </c>
      <c r="AD170" s="153">
        <f t="shared" si="39"/>
        <v>0</v>
      </c>
      <c r="AE170" s="248">
        <f t="shared" si="40"/>
        <v>0</v>
      </c>
      <c r="AF170" s="153">
        <f t="shared" si="46"/>
        <v>0</v>
      </c>
      <c r="AG170" s="248">
        <f t="shared" si="41"/>
        <v>0</v>
      </c>
      <c r="AH170" s="153">
        <f t="shared" si="47"/>
        <v>0</v>
      </c>
      <c r="AI170" s="153"/>
      <c r="AJ170" s="153">
        <f t="shared" si="48"/>
        <v>0</v>
      </c>
      <c r="AK170" s="153">
        <f t="shared" si="49"/>
        <v>0</v>
      </c>
      <c r="AL170" s="153"/>
      <c r="AM170" s="153">
        <f>AK169*W169+AK170*W170</f>
        <v>0</v>
      </c>
      <c r="AN170" s="153">
        <f>(SUM(AD169:AG169)*W169+SUM(AD170:AG170)*W170)*12*VLOOKUP(C170,JNovergang,3,1)</f>
        <v>0</v>
      </c>
      <c r="AO170" s="153">
        <f>AM170-AN170</f>
        <v>0</v>
      </c>
      <c r="AP170" s="153">
        <f>M170*(100+X170)%</f>
        <v>0</v>
      </c>
      <c r="AQ170" s="248">
        <f>ROUND(M170*F170,2)</f>
        <v>0</v>
      </c>
      <c r="AS170" s="248">
        <f>ROUND((AP170+AQ170)+AM170*(N170/12),0)</f>
        <v>0</v>
      </c>
      <c r="AT170" s="248">
        <f>ROUND(AM170*(O170/12),0)</f>
        <v>0</v>
      </c>
      <c r="AU170" s="248">
        <f>ROUND(AM170*(P170/12)*U170,0)</f>
        <v>0</v>
      </c>
      <c r="AW170" s="129">
        <f t="shared" si="50"/>
        <v>0</v>
      </c>
    </row>
    <row r="171" spans="1:49" x14ac:dyDescent="0.15">
      <c r="A171" s="157"/>
      <c r="B171" s="158"/>
      <c r="C171" s="158"/>
      <c r="D171" s="149" t="str">
        <f t="shared" si="34"/>
        <v xml:space="preserve"> </v>
      </c>
      <c r="E171" s="161"/>
      <c r="F171" s="261">
        <v>0</v>
      </c>
      <c r="G171" s="161">
        <v>37</v>
      </c>
      <c r="H171" s="161">
        <v>37</v>
      </c>
      <c r="I171" s="161"/>
      <c r="J171" s="163"/>
      <c r="K171" s="161"/>
      <c r="L171" s="163"/>
      <c r="M171" s="150"/>
      <c r="N171" s="150"/>
      <c r="O171" s="150"/>
      <c r="P171" s="150"/>
      <c r="Q171" s="151"/>
      <c r="R171" s="151"/>
      <c r="S171" s="152"/>
      <c r="V171" s="129">
        <f t="shared" si="42"/>
        <v>0</v>
      </c>
      <c r="W171" s="129">
        <f t="shared" si="43"/>
        <v>0</v>
      </c>
      <c r="X171" s="129">
        <f t="shared" si="35"/>
        <v>0</v>
      </c>
      <c r="Y171" s="129">
        <f t="shared" si="44"/>
        <v>65.337800000000001</v>
      </c>
      <c r="Z171" s="153">
        <f t="shared" si="36"/>
        <v>0</v>
      </c>
      <c r="AA171" s="248">
        <f t="shared" si="37"/>
        <v>0</v>
      </c>
      <c r="AB171" s="153">
        <f t="shared" si="45"/>
        <v>0</v>
      </c>
      <c r="AC171" s="248">
        <f t="shared" si="38"/>
        <v>0</v>
      </c>
      <c r="AD171" s="153">
        <f t="shared" si="39"/>
        <v>0</v>
      </c>
      <c r="AE171" s="248">
        <f t="shared" si="40"/>
        <v>0</v>
      </c>
      <c r="AF171" s="153">
        <f t="shared" si="46"/>
        <v>0</v>
      </c>
      <c r="AG171" s="248">
        <f t="shared" si="41"/>
        <v>0</v>
      </c>
      <c r="AH171" s="153">
        <f t="shared" si="47"/>
        <v>0</v>
      </c>
      <c r="AI171" s="153"/>
      <c r="AJ171" s="153">
        <f t="shared" si="48"/>
        <v>0</v>
      </c>
      <c r="AK171" s="153">
        <f t="shared" si="49"/>
        <v>0</v>
      </c>
      <c r="AL171" s="153"/>
      <c r="AM171" s="153"/>
      <c r="AN171" s="153"/>
      <c r="AQ171" s="153"/>
      <c r="AW171" s="129">
        <f t="shared" si="50"/>
        <v>0</v>
      </c>
    </row>
    <row r="172" spans="1:49" ht="9.75" thickBot="1" x14ac:dyDescent="0.2">
      <c r="A172" s="159"/>
      <c r="B172" s="160"/>
      <c r="C172" s="160"/>
      <c r="D172" s="154" t="str">
        <f>VLOOKUP(C172,Tabelændringskode,2,1)</f>
        <v xml:space="preserve"> </v>
      </c>
      <c r="E172" s="162"/>
      <c r="F172" s="262">
        <v>0</v>
      </c>
      <c r="G172" s="162">
        <v>37</v>
      </c>
      <c r="H172" s="162">
        <v>37</v>
      </c>
      <c r="I172" s="162"/>
      <c r="J172" s="164"/>
      <c r="K172" s="162"/>
      <c r="L172" s="164"/>
      <c r="M172" s="164"/>
      <c r="N172" s="162"/>
      <c r="O172" s="162"/>
      <c r="P172" s="162"/>
      <c r="Q172" s="155">
        <f>AS172</f>
        <v>0</v>
      </c>
      <c r="R172" s="155">
        <f>AT172</f>
        <v>0</v>
      </c>
      <c r="S172" s="156">
        <f>AU172</f>
        <v>0</v>
      </c>
      <c r="U172" s="129">
        <f>IF(OR(C171=5,C172=5),0,1)</f>
        <v>1</v>
      </c>
      <c r="V172" s="129">
        <f t="shared" si="42"/>
        <v>0</v>
      </c>
      <c r="W172" s="129">
        <f t="shared" si="43"/>
        <v>0</v>
      </c>
      <c r="X172" s="129">
        <f t="shared" si="35"/>
        <v>0</v>
      </c>
      <c r="Y172" s="129">
        <f t="shared" si="44"/>
        <v>65.337800000000001</v>
      </c>
      <c r="Z172" s="153">
        <f t="shared" si="36"/>
        <v>0</v>
      </c>
      <c r="AA172" s="248">
        <f t="shared" si="37"/>
        <v>0</v>
      </c>
      <c r="AB172" s="153">
        <f t="shared" si="45"/>
        <v>0</v>
      </c>
      <c r="AC172" s="248">
        <f t="shared" si="38"/>
        <v>0</v>
      </c>
      <c r="AD172" s="153">
        <f t="shared" si="39"/>
        <v>0</v>
      </c>
      <c r="AE172" s="248">
        <f t="shared" si="40"/>
        <v>0</v>
      </c>
      <c r="AF172" s="153">
        <f t="shared" si="46"/>
        <v>0</v>
      </c>
      <c r="AG172" s="248">
        <f t="shared" si="41"/>
        <v>0</v>
      </c>
      <c r="AH172" s="153">
        <f t="shared" si="47"/>
        <v>0</v>
      </c>
      <c r="AI172" s="153"/>
      <c r="AJ172" s="153">
        <f t="shared" si="48"/>
        <v>0</v>
      </c>
      <c r="AK172" s="153">
        <f t="shared" si="49"/>
        <v>0</v>
      </c>
      <c r="AL172" s="153"/>
      <c r="AM172" s="153">
        <f>AK171*W171+AK172*W172</f>
        <v>0</v>
      </c>
      <c r="AN172" s="153">
        <f>(SUM(AD171:AG171)*W171+SUM(AD172:AG172)*W172)*12*VLOOKUP(C172,JNovergang,3,1)</f>
        <v>0</v>
      </c>
      <c r="AO172" s="153">
        <f>AM172-AN172</f>
        <v>0</v>
      </c>
      <c r="AP172" s="153">
        <f>M172*(100+X172)%</f>
        <v>0</v>
      </c>
      <c r="AQ172" s="248">
        <f>ROUND(M172*F172,2)</f>
        <v>0</v>
      </c>
      <c r="AS172" s="248">
        <f>ROUND((AP172+AQ172)+AM172*(N172/12),0)</f>
        <v>0</v>
      </c>
      <c r="AT172" s="248">
        <f>ROUND(AM172*(O172/12),0)</f>
        <v>0</v>
      </c>
      <c r="AU172" s="248">
        <f>ROUND(AM172*(P172/12)*U172,0)</f>
        <v>0</v>
      </c>
      <c r="AW172" s="129">
        <f t="shared" si="50"/>
        <v>0</v>
      </c>
    </row>
    <row r="173" spans="1:49" x14ac:dyDescent="0.15">
      <c r="A173" s="157"/>
      <c r="B173" s="158"/>
      <c r="C173" s="158"/>
      <c r="D173" s="149" t="str">
        <f t="shared" si="34"/>
        <v xml:space="preserve"> </v>
      </c>
      <c r="E173" s="161"/>
      <c r="F173" s="261">
        <v>0</v>
      </c>
      <c r="G173" s="161">
        <v>37</v>
      </c>
      <c r="H173" s="161">
        <v>37</v>
      </c>
      <c r="I173" s="161"/>
      <c r="J173" s="163"/>
      <c r="K173" s="161"/>
      <c r="L173" s="163"/>
      <c r="M173" s="150"/>
      <c r="N173" s="150"/>
      <c r="O173" s="150"/>
      <c r="P173" s="150"/>
      <c r="Q173" s="151"/>
      <c r="R173" s="151"/>
      <c r="S173" s="152"/>
      <c r="V173" s="129">
        <f t="shared" si="42"/>
        <v>0</v>
      </c>
      <c r="W173" s="129">
        <f t="shared" si="43"/>
        <v>0</v>
      </c>
      <c r="X173" s="129">
        <f t="shared" si="35"/>
        <v>0</v>
      </c>
      <c r="Y173" s="129">
        <f t="shared" si="44"/>
        <v>65.337800000000001</v>
      </c>
      <c r="Z173" s="153">
        <f t="shared" si="36"/>
        <v>0</v>
      </c>
      <c r="AA173" s="248">
        <f t="shared" si="37"/>
        <v>0</v>
      </c>
      <c r="AB173" s="153">
        <f t="shared" si="45"/>
        <v>0</v>
      </c>
      <c r="AC173" s="248">
        <f t="shared" si="38"/>
        <v>0</v>
      </c>
      <c r="AD173" s="153">
        <f t="shared" si="39"/>
        <v>0</v>
      </c>
      <c r="AE173" s="248">
        <f t="shared" si="40"/>
        <v>0</v>
      </c>
      <c r="AF173" s="153">
        <f t="shared" si="46"/>
        <v>0</v>
      </c>
      <c r="AG173" s="248">
        <f t="shared" si="41"/>
        <v>0</v>
      </c>
      <c r="AH173" s="153">
        <f t="shared" si="47"/>
        <v>0</v>
      </c>
      <c r="AI173" s="153"/>
      <c r="AJ173" s="153">
        <f t="shared" si="48"/>
        <v>0</v>
      </c>
      <c r="AK173" s="153">
        <f t="shared" si="49"/>
        <v>0</v>
      </c>
      <c r="AL173" s="153"/>
      <c r="AM173" s="153"/>
      <c r="AN173" s="153"/>
      <c r="AQ173" s="153"/>
      <c r="AW173" s="129">
        <f t="shared" si="50"/>
        <v>0</v>
      </c>
    </row>
    <row r="174" spans="1:49" ht="9.75" thickBot="1" x14ac:dyDescent="0.2">
      <c r="A174" s="159"/>
      <c r="B174" s="160"/>
      <c r="C174" s="160"/>
      <c r="D174" s="154" t="str">
        <f>VLOOKUP(C174,Tabelændringskode,2,1)</f>
        <v xml:space="preserve"> </v>
      </c>
      <c r="E174" s="162"/>
      <c r="F174" s="262">
        <v>0</v>
      </c>
      <c r="G174" s="162">
        <v>37</v>
      </c>
      <c r="H174" s="162">
        <v>37</v>
      </c>
      <c r="I174" s="162"/>
      <c r="J174" s="164"/>
      <c r="K174" s="162"/>
      <c r="L174" s="164"/>
      <c r="M174" s="164"/>
      <c r="N174" s="162"/>
      <c r="O174" s="162"/>
      <c r="P174" s="162"/>
      <c r="Q174" s="155">
        <f>AS174</f>
        <v>0</v>
      </c>
      <c r="R174" s="155">
        <f>AT174</f>
        <v>0</v>
      </c>
      <c r="S174" s="156">
        <f>AU174</f>
        <v>0</v>
      </c>
      <c r="U174" s="129">
        <f>IF(OR(C173=5,C174=5),0,1)</f>
        <v>1</v>
      </c>
      <c r="V174" s="129">
        <f t="shared" si="42"/>
        <v>0</v>
      </c>
      <c r="W174" s="129">
        <f t="shared" si="43"/>
        <v>0</v>
      </c>
      <c r="X174" s="129">
        <f t="shared" si="35"/>
        <v>0</v>
      </c>
      <c r="Y174" s="129">
        <f t="shared" si="44"/>
        <v>65.337800000000001</v>
      </c>
      <c r="Z174" s="153">
        <f t="shared" si="36"/>
        <v>0</v>
      </c>
      <c r="AA174" s="248">
        <f t="shared" si="37"/>
        <v>0</v>
      </c>
      <c r="AB174" s="153">
        <f t="shared" si="45"/>
        <v>0</v>
      </c>
      <c r="AC174" s="248">
        <f t="shared" si="38"/>
        <v>0</v>
      </c>
      <c r="AD174" s="153">
        <f t="shared" si="39"/>
        <v>0</v>
      </c>
      <c r="AE174" s="248">
        <f t="shared" si="40"/>
        <v>0</v>
      </c>
      <c r="AF174" s="153">
        <f t="shared" si="46"/>
        <v>0</v>
      </c>
      <c r="AG174" s="248">
        <f t="shared" si="41"/>
        <v>0</v>
      </c>
      <c r="AH174" s="153">
        <f t="shared" si="47"/>
        <v>0</v>
      </c>
      <c r="AI174" s="153"/>
      <c r="AJ174" s="153">
        <f t="shared" si="48"/>
        <v>0</v>
      </c>
      <c r="AK174" s="153">
        <f t="shared" si="49"/>
        <v>0</v>
      </c>
      <c r="AL174" s="153"/>
      <c r="AM174" s="153">
        <f>AK173*W173+AK174*W174</f>
        <v>0</v>
      </c>
      <c r="AN174" s="153">
        <f>(SUM(AD173:AG173)*W173+SUM(AD174:AG174)*W174)*12*VLOOKUP(C174,JNovergang,3,1)</f>
        <v>0</v>
      </c>
      <c r="AO174" s="153">
        <f>AM174-AN174</f>
        <v>0</v>
      </c>
      <c r="AP174" s="153">
        <f>M174*(100+X174)%</f>
        <v>0</v>
      </c>
      <c r="AQ174" s="248">
        <f>ROUND(M174*F174,2)</f>
        <v>0</v>
      </c>
      <c r="AS174" s="248">
        <f>ROUND((AP174+AQ174)+AM174*(N174/12),0)</f>
        <v>0</v>
      </c>
      <c r="AT174" s="248">
        <f>ROUND(AM174*(O174/12),0)</f>
        <v>0</v>
      </c>
      <c r="AU174" s="248">
        <f>ROUND(AM174*(P174/12)*U174,0)</f>
        <v>0</v>
      </c>
      <c r="AW174" s="129">
        <f t="shared" si="50"/>
        <v>0</v>
      </c>
    </row>
    <row r="175" spans="1:49" x14ac:dyDescent="0.15">
      <c r="A175" s="157"/>
      <c r="B175" s="158"/>
      <c r="C175" s="158"/>
      <c r="D175" s="149" t="str">
        <f t="shared" si="34"/>
        <v xml:space="preserve"> </v>
      </c>
      <c r="E175" s="161"/>
      <c r="F175" s="261">
        <v>0</v>
      </c>
      <c r="G175" s="161">
        <v>37</v>
      </c>
      <c r="H175" s="161">
        <v>37</v>
      </c>
      <c r="I175" s="161"/>
      <c r="J175" s="163"/>
      <c r="K175" s="161"/>
      <c r="L175" s="163"/>
      <c r="M175" s="150"/>
      <c r="N175" s="150"/>
      <c r="O175" s="150"/>
      <c r="P175" s="150"/>
      <c r="Q175" s="151"/>
      <c r="R175" s="151"/>
      <c r="S175" s="152"/>
      <c r="V175" s="129">
        <f t="shared" si="42"/>
        <v>0</v>
      </c>
      <c r="W175" s="129">
        <f t="shared" si="43"/>
        <v>0</v>
      </c>
      <c r="X175" s="129">
        <f t="shared" si="35"/>
        <v>0</v>
      </c>
      <c r="Y175" s="129">
        <f t="shared" si="44"/>
        <v>65.337800000000001</v>
      </c>
      <c r="Z175" s="153">
        <f t="shared" si="36"/>
        <v>0</v>
      </c>
      <c r="AA175" s="248">
        <f t="shared" si="37"/>
        <v>0</v>
      </c>
      <c r="AB175" s="153">
        <f t="shared" si="45"/>
        <v>0</v>
      </c>
      <c r="AC175" s="248">
        <f t="shared" si="38"/>
        <v>0</v>
      </c>
      <c r="AD175" s="153">
        <f t="shared" si="39"/>
        <v>0</v>
      </c>
      <c r="AE175" s="248">
        <f t="shared" si="40"/>
        <v>0</v>
      </c>
      <c r="AF175" s="153">
        <f t="shared" si="46"/>
        <v>0</v>
      </c>
      <c r="AG175" s="248">
        <f t="shared" si="41"/>
        <v>0</v>
      </c>
      <c r="AH175" s="153">
        <f t="shared" si="47"/>
        <v>0</v>
      </c>
      <c r="AI175" s="153"/>
      <c r="AJ175" s="153">
        <f t="shared" si="48"/>
        <v>0</v>
      </c>
      <c r="AK175" s="153">
        <f t="shared" si="49"/>
        <v>0</v>
      </c>
      <c r="AL175" s="153"/>
      <c r="AM175" s="153"/>
      <c r="AN175" s="153"/>
      <c r="AQ175" s="153"/>
      <c r="AW175" s="129">
        <f t="shared" si="50"/>
        <v>0</v>
      </c>
    </row>
    <row r="176" spans="1:49" ht="9.75" thickBot="1" x14ac:dyDescent="0.2">
      <c r="A176" s="159"/>
      <c r="B176" s="160"/>
      <c r="C176" s="160"/>
      <c r="D176" s="154" t="str">
        <f>VLOOKUP(C176,Tabelændringskode,2,1)</f>
        <v xml:space="preserve"> </v>
      </c>
      <c r="E176" s="162"/>
      <c r="F176" s="262">
        <v>0</v>
      </c>
      <c r="G176" s="162">
        <v>37</v>
      </c>
      <c r="H176" s="162">
        <v>37</v>
      </c>
      <c r="I176" s="162"/>
      <c r="J176" s="164"/>
      <c r="K176" s="162"/>
      <c r="L176" s="164"/>
      <c r="M176" s="164"/>
      <c r="N176" s="162"/>
      <c r="O176" s="162"/>
      <c r="P176" s="162"/>
      <c r="Q176" s="155">
        <f>AS176</f>
        <v>0</v>
      </c>
      <c r="R176" s="155">
        <f>AT176</f>
        <v>0</v>
      </c>
      <c r="S176" s="156">
        <f>AU176</f>
        <v>0</v>
      </c>
      <c r="U176" s="129">
        <f>IF(OR(C175=5,C176=5),0,1)</f>
        <v>1</v>
      </c>
      <c r="V176" s="129">
        <f t="shared" si="42"/>
        <v>0</v>
      </c>
      <c r="W176" s="129">
        <f t="shared" si="43"/>
        <v>0</v>
      </c>
      <c r="X176" s="129">
        <f t="shared" si="35"/>
        <v>0</v>
      </c>
      <c r="Y176" s="129">
        <f t="shared" si="44"/>
        <v>65.337800000000001</v>
      </c>
      <c r="Z176" s="153">
        <f t="shared" si="36"/>
        <v>0</v>
      </c>
      <c r="AA176" s="248">
        <f t="shared" si="37"/>
        <v>0</v>
      </c>
      <c r="AB176" s="153">
        <f t="shared" si="45"/>
        <v>0</v>
      </c>
      <c r="AC176" s="248">
        <f t="shared" si="38"/>
        <v>0</v>
      </c>
      <c r="AD176" s="153">
        <f t="shared" si="39"/>
        <v>0</v>
      </c>
      <c r="AE176" s="248">
        <f t="shared" si="40"/>
        <v>0</v>
      </c>
      <c r="AF176" s="153">
        <f t="shared" si="46"/>
        <v>0</v>
      </c>
      <c r="AG176" s="248">
        <f t="shared" si="41"/>
        <v>0</v>
      </c>
      <c r="AH176" s="153">
        <f t="shared" si="47"/>
        <v>0</v>
      </c>
      <c r="AI176" s="153"/>
      <c r="AJ176" s="153">
        <f t="shared" si="48"/>
        <v>0</v>
      </c>
      <c r="AK176" s="153">
        <f t="shared" si="49"/>
        <v>0</v>
      </c>
      <c r="AL176" s="153"/>
      <c r="AM176" s="153">
        <f>AK175*W175+AK176*W176</f>
        <v>0</v>
      </c>
      <c r="AN176" s="153">
        <f>(SUM(AD175:AG175)*W175+SUM(AD176:AG176)*W176)*12*VLOOKUP(C176,JNovergang,3,1)</f>
        <v>0</v>
      </c>
      <c r="AO176" s="153">
        <f>AM176-AN176</f>
        <v>0</v>
      </c>
      <c r="AP176" s="153">
        <f>M176*(100+X176)%</f>
        <v>0</v>
      </c>
      <c r="AQ176" s="248">
        <f>ROUND(M176*F176,2)</f>
        <v>0</v>
      </c>
      <c r="AS176" s="248">
        <f>ROUND((AP176+AQ176)+AM176*(N176/12),0)</f>
        <v>0</v>
      </c>
      <c r="AT176" s="248">
        <f>ROUND(AM176*(O176/12),0)</f>
        <v>0</v>
      </c>
      <c r="AU176" s="248">
        <f>ROUND(AM176*(P176/12)*U176,0)</f>
        <v>0</v>
      </c>
      <c r="AW176" s="129">
        <f t="shared" si="50"/>
        <v>0</v>
      </c>
    </row>
    <row r="177" spans="1:49" x14ac:dyDescent="0.15">
      <c r="A177" s="157"/>
      <c r="B177" s="158"/>
      <c r="C177" s="158"/>
      <c r="D177" s="149" t="str">
        <f t="shared" ref="D177:D195" si="51">VLOOKUP(C177,Tabelændringskode,2,1)</f>
        <v xml:space="preserve"> </v>
      </c>
      <c r="E177" s="161"/>
      <c r="F177" s="261">
        <v>0</v>
      </c>
      <c r="G177" s="161">
        <v>37</v>
      </c>
      <c r="H177" s="161">
        <v>37</v>
      </c>
      <c r="I177" s="161"/>
      <c r="J177" s="163"/>
      <c r="K177" s="161"/>
      <c r="L177" s="163"/>
      <c r="M177" s="150"/>
      <c r="N177" s="150"/>
      <c r="O177" s="150"/>
      <c r="P177" s="150"/>
      <c r="Q177" s="151"/>
      <c r="R177" s="151"/>
      <c r="S177" s="152"/>
      <c r="V177" s="129">
        <f t="shared" si="42"/>
        <v>0</v>
      </c>
      <c r="W177" s="129">
        <f t="shared" si="43"/>
        <v>0</v>
      </c>
      <c r="X177" s="129">
        <f t="shared" si="35"/>
        <v>0</v>
      </c>
      <c r="Y177" s="129">
        <f t="shared" si="44"/>
        <v>65.337800000000001</v>
      </c>
      <c r="Z177" s="153">
        <f t="shared" si="36"/>
        <v>0</v>
      </c>
      <c r="AA177" s="248">
        <f t="shared" si="37"/>
        <v>0</v>
      </c>
      <c r="AB177" s="153">
        <f t="shared" si="45"/>
        <v>0</v>
      </c>
      <c r="AC177" s="248">
        <f t="shared" si="38"/>
        <v>0</v>
      </c>
      <c r="AD177" s="153">
        <f t="shared" si="39"/>
        <v>0</v>
      </c>
      <c r="AE177" s="248">
        <f t="shared" si="40"/>
        <v>0</v>
      </c>
      <c r="AF177" s="153">
        <f t="shared" si="46"/>
        <v>0</v>
      </c>
      <c r="AG177" s="248">
        <f t="shared" si="41"/>
        <v>0</v>
      </c>
      <c r="AH177" s="153">
        <f t="shared" si="47"/>
        <v>0</v>
      </c>
      <c r="AI177" s="153"/>
      <c r="AJ177" s="153">
        <f t="shared" si="48"/>
        <v>0</v>
      </c>
      <c r="AK177" s="153">
        <f t="shared" si="49"/>
        <v>0</v>
      </c>
      <c r="AL177" s="153"/>
      <c r="AM177" s="153"/>
      <c r="AN177" s="153"/>
      <c r="AQ177" s="153"/>
      <c r="AW177" s="129">
        <f t="shared" si="50"/>
        <v>0</v>
      </c>
    </row>
    <row r="178" spans="1:49" ht="9.75" thickBot="1" x14ac:dyDescent="0.2">
      <c r="A178" s="159"/>
      <c r="B178" s="160"/>
      <c r="C178" s="160"/>
      <c r="D178" s="154" t="str">
        <f>VLOOKUP(C178,Tabelændringskode,2,1)</f>
        <v xml:space="preserve"> </v>
      </c>
      <c r="E178" s="162"/>
      <c r="F178" s="262">
        <v>0</v>
      </c>
      <c r="G178" s="162">
        <v>37</v>
      </c>
      <c r="H178" s="162">
        <v>37</v>
      </c>
      <c r="I178" s="162"/>
      <c r="J178" s="164"/>
      <c r="K178" s="162"/>
      <c r="L178" s="164"/>
      <c r="M178" s="164"/>
      <c r="N178" s="162"/>
      <c r="O178" s="162"/>
      <c r="P178" s="162"/>
      <c r="Q178" s="155">
        <f>AS178</f>
        <v>0</v>
      </c>
      <c r="R178" s="155">
        <f>AT178</f>
        <v>0</v>
      </c>
      <c r="S178" s="156">
        <f>AU178</f>
        <v>0</v>
      </c>
      <c r="U178" s="129">
        <f>IF(OR(C177=5,C178=5),0,1)</f>
        <v>1</v>
      </c>
      <c r="V178" s="129">
        <f t="shared" si="42"/>
        <v>0</v>
      </c>
      <c r="W178" s="129">
        <f t="shared" si="43"/>
        <v>0</v>
      </c>
      <c r="X178" s="129">
        <f t="shared" si="35"/>
        <v>0</v>
      </c>
      <c r="Y178" s="129">
        <f t="shared" si="44"/>
        <v>65.337800000000001</v>
      </c>
      <c r="Z178" s="153">
        <f t="shared" si="36"/>
        <v>0</v>
      </c>
      <c r="AA178" s="248">
        <f t="shared" si="37"/>
        <v>0</v>
      </c>
      <c r="AB178" s="153">
        <f t="shared" si="45"/>
        <v>0</v>
      </c>
      <c r="AC178" s="248">
        <f t="shared" si="38"/>
        <v>0</v>
      </c>
      <c r="AD178" s="153">
        <f t="shared" si="39"/>
        <v>0</v>
      </c>
      <c r="AE178" s="248">
        <f t="shared" si="40"/>
        <v>0</v>
      </c>
      <c r="AF178" s="153">
        <f t="shared" si="46"/>
        <v>0</v>
      </c>
      <c r="AG178" s="248">
        <f t="shared" si="41"/>
        <v>0</v>
      </c>
      <c r="AH178" s="153">
        <f t="shared" si="47"/>
        <v>0</v>
      </c>
      <c r="AI178" s="153"/>
      <c r="AJ178" s="153">
        <f t="shared" si="48"/>
        <v>0</v>
      </c>
      <c r="AK178" s="153">
        <f t="shared" si="49"/>
        <v>0</v>
      </c>
      <c r="AL178" s="153"/>
      <c r="AM178" s="153">
        <f>AK177*W177+AK178*W178</f>
        <v>0</v>
      </c>
      <c r="AN178" s="153">
        <f>(SUM(AD177:AG177)*W177+SUM(AD178:AG178)*W178)*12*VLOOKUP(C178,JNovergang,3,1)</f>
        <v>0</v>
      </c>
      <c r="AO178" s="153">
        <f>AM178-AN178</f>
        <v>0</v>
      </c>
      <c r="AP178" s="153">
        <f>M178*(100+X178)%</f>
        <v>0</v>
      </c>
      <c r="AQ178" s="248">
        <f>ROUND(M178*F178,2)</f>
        <v>0</v>
      </c>
      <c r="AS178" s="248">
        <f>ROUND((AP178+AQ178)+AM178*(N178/12),0)</f>
        <v>0</v>
      </c>
      <c r="AT178" s="248">
        <f>ROUND(AM178*(O178/12),0)</f>
        <v>0</v>
      </c>
      <c r="AU178" s="248">
        <f>ROUND(AM178*(P178/12)*U178,0)</f>
        <v>0</v>
      </c>
      <c r="AW178" s="129">
        <f t="shared" si="50"/>
        <v>0</v>
      </c>
    </row>
    <row r="179" spans="1:49" x14ac:dyDescent="0.15">
      <c r="A179" s="157"/>
      <c r="B179" s="158"/>
      <c r="C179" s="158"/>
      <c r="D179" s="149" t="str">
        <f t="shared" si="51"/>
        <v xml:space="preserve"> </v>
      </c>
      <c r="E179" s="161"/>
      <c r="F179" s="261">
        <v>0</v>
      </c>
      <c r="G179" s="161">
        <v>37</v>
      </c>
      <c r="H179" s="161">
        <v>37</v>
      </c>
      <c r="I179" s="161"/>
      <c r="J179" s="163"/>
      <c r="K179" s="161"/>
      <c r="L179" s="163"/>
      <c r="M179" s="150"/>
      <c r="N179" s="150"/>
      <c r="O179" s="150"/>
      <c r="P179" s="150"/>
      <c r="Q179" s="151"/>
      <c r="R179" s="151"/>
      <c r="S179" s="152"/>
      <c r="V179" s="129">
        <f t="shared" si="42"/>
        <v>0</v>
      </c>
      <c r="W179" s="129">
        <f t="shared" si="43"/>
        <v>0</v>
      </c>
      <c r="X179" s="129">
        <f t="shared" ref="X179:X242" si="52">VLOOKUP(C179,JNferiepenge,3,1)</f>
        <v>0</v>
      </c>
      <c r="Y179" s="129">
        <f t="shared" si="44"/>
        <v>65.337800000000001</v>
      </c>
      <c r="Z179" s="153">
        <f t="shared" si="36"/>
        <v>0</v>
      </c>
      <c r="AA179" s="248">
        <f t="shared" si="37"/>
        <v>0</v>
      </c>
      <c r="AB179" s="153">
        <f t="shared" si="45"/>
        <v>0</v>
      </c>
      <c r="AC179" s="248">
        <f t="shared" si="38"/>
        <v>0</v>
      </c>
      <c r="AD179" s="153">
        <f t="shared" si="39"/>
        <v>0</v>
      </c>
      <c r="AE179" s="248">
        <f t="shared" si="40"/>
        <v>0</v>
      </c>
      <c r="AF179" s="153">
        <f t="shared" si="46"/>
        <v>0</v>
      </c>
      <c r="AG179" s="248">
        <f t="shared" si="41"/>
        <v>0</v>
      </c>
      <c r="AH179" s="153">
        <f t="shared" si="47"/>
        <v>0</v>
      </c>
      <c r="AI179" s="153"/>
      <c r="AJ179" s="153">
        <f t="shared" si="48"/>
        <v>0</v>
      </c>
      <c r="AK179" s="153">
        <f t="shared" si="49"/>
        <v>0</v>
      </c>
      <c r="AL179" s="153"/>
      <c r="AM179" s="153"/>
      <c r="AN179" s="153"/>
      <c r="AQ179" s="153"/>
      <c r="AW179" s="129">
        <f t="shared" si="50"/>
        <v>0</v>
      </c>
    </row>
    <row r="180" spans="1:49" ht="9.75" thickBot="1" x14ac:dyDescent="0.2">
      <c r="A180" s="159"/>
      <c r="B180" s="160"/>
      <c r="C180" s="160"/>
      <c r="D180" s="154" t="str">
        <f>VLOOKUP(C180,Tabelændringskode,2,1)</f>
        <v xml:space="preserve"> </v>
      </c>
      <c r="E180" s="162"/>
      <c r="F180" s="262">
        <v>0</v>
      </c>
      <c r="G180" s="162">
        <v>37</v>
      </c>
      <c r="H180" s="162">
        <v>37</v>
      </c>
      <c r="I180" s="162"/>
      <c r="J180" s="164"/>
      <c r="K180" s="162"/>
      <c r="L180" s="164"/>
      <c r="M180" s="164"/>
      <c r="N180" s="162"/>
      <c r="O180" s="162"/>
      <c r="P180" s="162"/>
      <c r="Q180" s="155">
        <f>AS180</f>
        <v>0</v>
      </c>
      <c r="R180" s="155">
        <f>AT180</f>
        <v>0</v>
      </c>
      <c r="S180" s="156">
        <f>AU180</f>
        <v>0</v>
      </c>
      <c r="U180" s="129">
        <f>IF(OR(C179=5,C180=5),0,1)</f>
        <v>1</v>
      </c>
      <c r="V180" s="129">
        <f t="shared" si="42"/>
        <v>0</v>
      </c>
      <c r="W180" s="129">
        <f t="shared" si="43"/>
        <v>0</v>
      </c>
      <c r="X180" s="129">
        <f t="shared" si="52"/>
        <v>0</v>
      </c>
      <c r="Y180" s="129">
        <f t="shared" si="44"/>
        <v>65.337800000000001</v>
      </c>
      <c r="Z180" s="153">
        <f t="shared" si="36"/>
        <v>0</v>
      </c>
      <c r="AA180" s="248">
        <f t="shared" si="37"/>
        <v>0</v>
      </c>
      <c r="AB180" s="153">
        <f t="shared" si="45"/>
        <v>0</v>
      </c>
      <c r="AC180" s="248">
        <f t="shared" si="38"/>
        <v>0</v>
      </c>
      <c r="AD180" s="153">
        <f t="shared" si="39"/>
        <v>0</v>
      </c>
      <c r="AE180" s="248">
        <f t="shared" si="40"/>
        <v>0</v>
      </c>
      <c r="AF180" s="153">
        <f t="shared" si="46"/>
        <v>0</v>
      </c>
      <c r="AG180" s="248">
        <f t="shared" si="41"/>
        <v>0</v>
      </c>
      <c r="AH180" s="153">
        <f t="shared" si="47"/>
        <v>0</v>
      </c>
      <c r="AI180" s="153"/>
      <c r="AJ180" s="153">
        <f t="shared" si="48"/>
        <v>0</v>
      </c>
      <c r="AK180" s="153">
        <f t="shared" si="49"/>
        <v>0</v>
      </c>
      <c r="AL180" s="153"/>
      <c r="AM180" s="153">
        <f>AK179*W179+AK180*W180</f>
        <v>0</v>
      </c>
      <c r="AN180" s="153">
        <f>(SUM(AD179:AG179)*W179+SUM(AD180:AG180)*W180)*12*VLOOKUP(C180,JNovergang,3,1)</f>
        <v>0</v>
      </c>
      <c r="AO180" s="153">
        <f>AM180-AN180</f>
        <v>0</v>
      </c>
      <c r="AP180" s="153">
        <f>M180*(100+X180)%</f>
        <v>0</v>
      </c>
      <c r="AQ180" s="248">
        <f>ROUND(M180*F180,2)</f>
        <v>0</v>
      </c>
      <c r="AS180" s="248">
        <f>ROUND((AP180+AQ180)+AM180*(N180/12),0)</f>
        <v>0</v>
      </c>
      <c r="AT180" s="248">
        <f>ROUND(AM180*(O180/12),0)</f>
        <v>0</v>
      </c>
      <c r="AU180" s="248">
        <f>ROUND(AM180*(P180/12)*U180,0)</f>
        <v>0</v>
      </c>
      <c r="AW180" s="129">
        <f t="shared" si="50"/>
        <v>0</v>
      </c>
    </row>
    <row r="181" spans="1:49" x14ac:dyDescent="0.15">
      <c r="A181" s="157"/>
      <c r="B181" s="158"/>
      <c r="C181" s="158"/>
      <c r="D181" s="149" t="str">
        <f t="shared" si="51"/>
        <v xml:space="preserve"> </v>
      </c>
      <c r="E181" s="161"/>
      <c r="F181" s="261">
        <v>0</v>
      </c>
      <c r="G181" s="161">
        <v>37</v>
      </c>
      <c r="H181" s="161">
        <v>37</v>
      </c>
      <c r="I181" s="161"/>
      <c r="J181" s="163"/>
      <c r="K181" s="161"/>
      <c r="L181" s="163"/>
      <c r="M181" s="150"/>
      <c r="N181" s="150"/>
      <c r="O181" s="150"/>
      <c r="P181" s="150"/>
      <c r="Q181" s="151"/>
      <c r="R181" s="151"/>
      <c r="S181" s="152"/>
      <c r="V181" s="129">
        <f t="shared" si="42"/>
        <v>0</v>
      </c>
      <c r="W181" s="129">
        <f t="shared" si="43"/>
        <v>0</v>
      </c>
      <c r="X181" s="129">
        <f t="shared" si="52"/>
        <v>0</v>
      </c>
      <c r="Y181" s="129">
        <f t="shared" si="44"/>
        <v>65.337800000000001</v>
      </c>
      <c r="Z181" s="153">
        <f t="shared" si="36"/>
        <v>0</v>
      </c>
      <c r="AA181" s="248">
        <f t="shared" si="37"/>
        <v>0</v>
      </c>
      <c r="AB181" s="153">
        <f t="shared" si="45"/>
        <v>0</v>
      </c>
      <c r="AC181" s="248">
        <f t="shared" si="38"/>
        <v>0</v>
      </c>
      <c r="AD181" s="153">
        <f t="shared" si="39"/>
        <v>0</v>
      </c>
      <c r="AE181" s="248">
        <f t="shared" si="40"/>
        <v>0</v>
      </c>
      <c r="AF181" s="153">
        <f t="shared" si="46"/>
        <v>0</v>
      </c>
      <c r="AG181" s="248">
        <f t="shared" si="41"/>
        <v>0</v>
      </c>
      <c r="AH181" s="153">
        <f t="shared" si="47"/>
        <v>0</v>
      </c>
      <c r="AI181" s="153"/>
      <c r="AJ181" s="153">
        <f t="shared" si="48"/>
        <v>0</v>
      </c>
      <c r="AK181" s="153">
        <f t="shared" si="49"/>
        <v>0</v>
      </c>
      <c r="AL181" s="153"/>
      <c r="AM181" s="153"/>
      <c r="AN181" s="153"/>
      <c r="AQ181" s="153"/>
      <c r="AW181" s="129">
        <f t="shared" si="50"/>
        <v>0</v>
      </c>
    </row>
    <row r="182" spans="1:49" ht="9.75" thickBot="1" x14ac:dyDescent="0.2">
      <c r="A182" s="159"/>
      <c r="B182" s="160"/>
      <c r="C182" s="160"/>
      <c r="D182" s="154" t="str">
        <f>VLOOKUP(C182,Tabelændringskode,2,1)</f>
        <v xml:space="preserve"> </v>
      </c>
      <c r="E182" s="162"/>
      <c r="F182" s="262">
        <v>0</v>
      </c>
      <c r="G182" s="162">
        <v>37</v>
      </c>
      <c r="H182" s="162">
        <v>37</v>
      </c>
      <c r="I182" s="162"/>
      <c r="J182" s="164"/>
      <c r="K182" s="162"/>
      <c r="L182" s="164"/>
      <c r="M182" s="164"/>
      <c r="N182" s="162"/>
      <c r="O182" s="162"/>
      <c r="P182" s="162"/>
      <c r="Q182" s="155">
        <f>AS182</f>
        <v>0</v>
      </c>
      <c r="R182" s="155">
        <f>AT182</f>
        <v>0</v>
      </c>
      <c r="S182" s="156">
        <f>AU182</f>
        <v>0</v>
      </c>
      <c r="U182" s="129">
        <f>IF(OR(C181=5,C182=5),0,1)</f>
        <v>1</v>
      </c>
      <c r="V182" s="129">
        <f t="shared" si="42"/>
        <v>0</v>
      </c>
      <c r="W182" s="129">
        <f t="shared" si="43"/>
        <v>0</v>
      </c>
      <c r="X182" s="129">
        <f t="shared" si="52"/>
        <v>0</v>
      </c>
      <c r="Y182" s="129">
        <f t="shared" si="44"/>
        <v>65.337800000000001</v>
      </c>
      <c r="Z182" s="153">
        <f t="shared" si="36"/>
        <v>0</v>
      </c>
      <c r="AA182" s="248">
        <f t="shared" si="37"/>
        <v>0</v>
      </c>
      <c r="AB182" s="153">
        <f t="shared" si="45"/>
        <v>0</v>
      </c>
      <c r="AC182" s="248">
        <f t="shared" si="38"/>
        <v>0</v>
      </c>
      <c r="AD182" s="153">
        <f t="shared" si="39"/>
        <v>0</v>
      </c>
      <c r="AE182" s="248">
        <f t="shared" si="40"/>
        <v>0</v>
      </c>
      <c r="AF182" s="153">
        <f t="shared" si="46"/>
        <v>0</v>
      </c>
      <c r="AG182" s="248">
        <f t="shared" si="41"/>
        <v>0</v>
      </c>
      <c r="AH182" s="153">
        <f t="shared" si="47"/>
        <v>0</v>
      </c>
      <c r="AI182" s="153"/>
      <c r="AJ182" s="153">
        <f t="shared" si="48"/>
        <v>0</v>
      </c>
      <c r="AK182" s="153">
        <f t="shared" si="49"/>
        <v>0</v>
      </c>
      <c r="AL182" s="153"/>
      <c r="AM182" s="153">
        <f>AK181*W181+AK182*W182</f>
        <v>0</v>
      </c>
      <c r="AN182" s="153">
        <f>(SUM(AD181:AG181)*W181+SUM(AD182:AG182)*W182)*12*VLOOKUP(C182,JNovergang,3,1)</f>
        <v>0</v>
      </c>
      <c r="AO182" s="153">
        <f>AM182-AN182</f>
        <v>0</v>
      </c>
      <c r="AP182" s="153">
        <f>M182*(100+X182)%</f>
        <v>0</v>
      </c>
      <c r="AQ182" s="248">
        <f>ROUND(M182*F182,2)</f>
        <v>0</v>
      </c>
      <c r="AS182" s="248">
        <f>ROUND((AP182+AQ182)+AM182*(N182/12),0)</f>
        <v>0</v>
      </c>
      <c r="AT182" s="248">
        <f>ROUND(AM182*(O182/12),0)</f>
        <v>0</v>
      </c>
      <c r="AU182" s="248">
        <f>ROUND(AM182*(P182/12)*U182,0)</f>
        <v>0</v>
      </c>
      <c r="AW182" s="129">
        <f t="shared" si="50"/>
        <v>0</v>
      </c>
    </row>
    <row r="183" spans="1:49" x14ac:dyDescent="0.15">
      <c r="A183" s="157"/>
      <c r="B183" s="158"/>
      <c r="C183" s="158"/>
      <c r="D183" s="149" t="str">
        <f t="shared" si="51"/>
        <v xml:space="preserve"> </v>
      </c>
      <c r="E183" s="161"/>
      <c r="F183" s="261">
        <v>0</v>
      </c>
      <c r="G183" s="161">
        <v>37</v>
      </c>
      <c r="H183" s="161">
        <v>37</v>
      </c>
      <c r="I183" s="161"/>
      <c r="J183" s="163"/>
      <c r="K183" s="161"/>
      <c r="L183" s="163"/>
      <c r="M183" s="150"/>
      <c r="N183" s="150"/>
      <c r="O183" s="150"/>
      <c r="P183" s="150"/>
      <c r="Q183" s="151"/>
      <c r="R183" s="151"/>
      <c r="S183" s="152"/>
      <c r="V183" s="129">
        <f t="shared" si="42"/>
        <v>0</v>
      </c>
      <c r="W183" s="129">
        <f t="shared" si="43"/>
        <v>0</v>
      </c>
      <c r="X183" s="129">
        <f t="shared" si="52"/>
        <v>0</v>
      </c>
      <c r="Y183" s="129">
        <f t="shared" si="44"/>
        <v>65.337800000000001</v>
      </c>
      <c r="Z183" s="153">
        <f t="shared" si="36"/>
        <v>0</v>
      </c>
      <c r="AA183" s="248">
        <f t="shared" si="37"/>
        <v>0</v>
      </c>
      <c r="AB183" s="153">
        <f t="shared" si="45"/>
        <v>0</v>
      </c>
      <c r="AC183" s="248">
        <f t="shared" si="38"/>
        <v>0</v>
      </c>
      <c r="AD183" s="153">
        <f t="shared" si="39"/>
        <v>0</v>
      </c>
      <c r="AE183" s="248">
        <f t="shared" si="40"/>
        <v>0</v>
      </c>
      <c r="AF183" s="153">
        <f t="shared" si="46"/>
        <v>0</v>
      </c>
      <c r="AG183" s="248">
        <f t="shared" si="41"/>
        <v>0</v>
      </c>
      <c r="AH183" s="153">
        <f t="shared" si="47"/>
        <v>0</v>
      </c>
      <c r="AI183" s="153"/>
      <c r="AJ183" s="153">
        <f t="shared" si="48"/>
        <v>0</v>
      </c>
      <c r="AK183" s="153">
        <f t="shared" si="49"/>
        <v>0</v>
      </c>
      <c r="AL183" s="153"/>
      <c r="AM183" s="153"/>
      <c r="AN183" s="153"/>
      <c r="AQ183" s="153"/>
      <c r="AW183" s="129">
        <f t="shared" si="50"/>
        <v>0</v>
      </c>
    </row>
    <row r="184" spans="1:49" ht="9.75" thickBot="1" x14ac:dyDescent="0.2">
      <c r="A184" s="159"/>
      <c r="B184" s="160"/>
      <c r="C184" s="160"/>
      <c r="D184" s="154" t="str">
        <f>VLOOKUP(C184,Tabelændringskode,2,1)</f>
        <v xml:space="preserve"> </v>
      </c>
      <c r="E184" s="162"/>
      <c r="F184" s="262">
        <v>0</v>
      </c>
      <c r="G184" s="162">
        <v>37</v>
      </c>
      <c r="H184" s="162">
        <v>37</v>
      </c>
      <c r="I184" s="162"/>
      <c r="J184" s="164"/>
      <c r="K184" s="162"/>
      <c r="L184" s="164"/>
      <c r="M184" s="164"/>
      <c r="N184" s="162"/>
      <c r="O184" s="162"/>
      <c r="P184" s="162"/>
      <c r="Q184" s="155">
        <f>AS184</f>
        <v>0</v>
      </c>
      <c r="R184" s="155">
        <f>AT184</f>
        <v>0</v>
      </c>
      <c r="S184" s="156">
        <f>AU184</f>
        <v>0</v>
      </c>
      <c r="U184" s="129">
        <f>IF(OR(C183=5,C184=5),0,1)</f>
        <v>1</v>
      </c>
      <c r="V184" s="129">
        <f t="shared" si="42"/>
        <v>0</v>
      </c>
      <c r="W184" s="129">
        <f t="shared" si="43"/>
        <v>0</v>
      </c>
      <c r="X184" s="129">
        <f t="shared" si="52"/>
        <v>0</v>
      </c>
      <c r="Y184" s="129">
        <f t="shared" si="44"/>
        <v>65.337800000000001</v>
      </c>
      <c r="Z184" s="153">
        <f t="shared" si="36"/>
        <v>0</v>
      </c>
      <c r="AA184" s="248">
        <f t="shared" si="37"/>
        <v>0</v>
      </c>
      <c r="AB184" s="153">
        <f t="shared" si="45"/>
        <v>0</v>
      </c>
      <c r="AC184" s="248">
        <f t="shared" si="38"/>
        <v>0</v>
      </c>
      <c r="AD184" s="153">
        <f t="shared" si="39"/>
        <v>0</v>
      </c>
      <c r="AE184" s="248">
        <f t="shared" si="40"/>
        <v>0</v>
      </c>
      <c r="AF184" s="153">
        <f t="shared" si="46"/>
        <v>0</v>
      </c>
      <c r="AG184" s="248">
        <f t="shared" si="41"/>
        <v>0</v>
      </c>
      <c r="AH184" s="153">
        <f t="shared" si="47"/>
        <v>0</v>
      </c>
      <c r="AI184" s="153"/>
      <c r="AJ184" s="153">
        <f t="shared" si="48"/>
        <v>0</v>
      </c>
      <c r="AK184" s="153">
        <f t="shared" si="49"/>
        <v>0</v>
      </c>
      <c r="AL184" s="153"/>
      <c r="AM184" s="153">
        <f>AK183*W183+AK184*W184</f>
        <v>0</v>
      </c>
      <c r="AN184" s="153">
        <f>(SUM(AD183:AG183)*W183+SUM(AD184:AG184)*W184)*12*VLOOKUP(C184,JNovergang,3,1)</f>
        <v>0</v>
      </c>
      <c r="AO184" s="153">
        <f>AM184-AN184</f>
        <v>0</v>
      </c>
      <c r="AP184" s="153">
        <f>M184*(100+X184)%</f>
        <v>0</v>
      </c>
      <c r="AQ184" s="248">
        <f>ROUND(M184*F184,2)</f>
        <v>0</v>
      </c>
      <c r="AS184" s="248">
        <f>ROUND((AP184+AQ184)+AM184*(N184/12),0)</f>
        <v>0</v>
      </c>
      <c r="AT184" s="248">
        <f>ROUND(AM184*(O184/12),0)</f>
        <v>0</v>
      </c>
      <c r="AU184" s="248">
        <f>ROUND(AM184*(P184/12)*U184,0)</f>
        <v>0</v>
      </c>
      <c r="AW184" s="129">
        <f t="shared" si="50"/>
        <v>0</v>
      </c>
    </row>
    <row r="185" spans="1:49" x14ac:dyDescent="0.15">
      <c r="A185" s="157"/>
      <c r="B185" s="158"/>
      <c r="C185" s="158"/>
      <c r="D185" s="149" t="str">
        <f t="shared" si="51"/>
        <v xml:space="preserve"> </v>
      </c>
      <c r="E185" s="161"/>
      <c r="F185" s="261">
        <v>0</v>
      </c>
      <c r="G185" s="161">
        <v>37</v>
      </c>
      <c r="H185" s="161">
        <v>37</v>
      </c>
      <c r="I185" s="161"/>
      <c r="J185" s="163"/>
      <c r="K185" s="161"/>
      <c r="L185" s="163"/>
      <c r="M185" s="150"/>
      <c r="N185" s="150"/>
      <c r="O185" s="150"/>
      <c r="P185" s="150"/>
      <c r="Q185" s="151"/>
      <c r="R185" s="151"/>
      <c r="S185" s="152"/>
      <c r="V185" s="129">
        <f t="shared" si="42"/>
        <v>0</v>
      </c>
      <c r="W185" s="129">
        <f t="shared" si="43"/>
        <v>0</v>
      </c>
      <c r="X185" s="129">
        <f t="shared" si="52"/>
        <v>0</v>
      </c>
      <c r="Y185" s="129">
        <f t="shared" si="44"/>
        <v>65.337800000000001</v>
      </c>
      <c r="Z185" s="153">
        <f t="shared" si="36"/>
        <v>0</v>
      </c>
      <c r="AA185" s="248">
        <f t="shared" si="37"/>
        <v>0</v>
      </c>
      <c r="AB185" s="153">
        <f t="shared" si="45"/>
        <v>0</v>
      </c>
      <c r="AC185" s="248">
        <f t="shared" si="38"/>
        <v>0</v>
      </c>
      <c r="AD185" s="153">
        <f t="shared" si="39"/>
        <v>0</v>
      </c>
      <c r="AE185" s="248">
        <f t="shared" si="40"/>
        <v>0</v>
      </c>
      <c r="AF185" s="153">
        <f t="shared" si="46"/>
        <v>0</v>
      </c>
      <c r="AG185" s="248">
        <f t="shared" si="41"/>
        <v>0</v>
      </c>
      <c r="AH185" s="153">
        <f t="shared" si="47"/>
        <v>0</v>
      </c>
      <c r="AI185" s="153"/>
      <c r="AJ185" s="153">
        <f t="shared" si="48"/>
        <v>0</v>
      </c>
      <c r="AK185" s="153">
        <f t="shared" si="49"/>
        <v>0</v>
      </c>
      <c r="AL185" s="153"/>
      <c r="AM185" s="153"/>
      <c r="AN185" s="153"/>
      <c r="AQ185" s="153"/>
      <c r="AW185" s="129">
        <f t="shared" si="50"/>
        <v>0</v>
      </c>
    </row>
    <row r="186" spans="1:49" ht="9.75" thickBot="1" x14ac:dyDescent="0.2">
      <c r="A186" s="159"/>
      <c r="B186" s="160"/>
      <c r="C186" s="160"/>
      <c r="D186" s="154" t="str">
        <f>VLOOKUP(C186,Tabelændringskode,2,1)</f>
        <v xml:space="preserve"> </v>
      </c>
      <c r="E186" s="162"/>
      <c r="F186" s="262">
        <v>0</v>
      </c>
      <c r="G186" s="162">
        <v>37</v>
      </c>
      <c r="H186" s="162">
        <v>37</v>
      </c>
      <c r="I186" s="162"/>
      <c r="J186" s="164"/>
      <c r="K186" s="162"/>
      <c r="L186" s="164"/>
      <c r="M186" s="164"/>
      <c r="N186" s="162"/>
      <c r="O186" s="162"/>
      <c r="P186" s="162"/>
      <c r="Q186" s="155">
        <f>AS186</f>
        <v>0</v>
      </c>
      <c r="R186" s="155">
        <f>AT186</f>
        <v>0</v>
      </c>
      <c r="S186" s="156">
        <f>AU186</f>
        <v>0</v>
      </c>
      <c r="U186" s="129">
        <f>IF(OR(C185=5,C186=5),0,1)</f>
        <v>1</v>
      </c>
      <c r="V186" s="129">
        <f t="shared" si="42"/>
        <v>0</v>
      </c>
      <c r="W186" s="129">
        <f t="shared" si="43"/>
        <v>0</v>
      </c>
      <c r="X186" s="129">
        <f t="shared" si="52"/>
        <v>0</v>
      </c>
      <c r="Y186" s="129">
        <f t="shared" si="44"/>
        <v>65.337800000000001</v>
      </c>
      <c r="Z186" s="153">
        <f t="shared" si="36"/>
        <v>0</v>
      </c>
      <c r="AA186" s="248">
        <f t="shared" si="37"/>
        <v>0</v>
      </c>
      <c r="AB186" s="153">
        <f t="shared" si="45"/>
        <v>0</v>
      </c>
      <c r="AC186" s="248">
        <f t="shared" si="38"/>
        <v>0</v>
      </c>
      <c r="AD186" s="153">
        <f t="shared" si="39"/>
        <v>0</v>
      </c>
      <c r="AE186" s="248">
        <f t="shared" si="40"/>
        <v>0</v>
      </c>
      <c r="AF186" s="153">
        <f t="shared" si="46"/>
        <v>0</v>
      </c>
      <c r="AG186" s="248">
        <f t="shared" si="41"/>
        <v>0</v>
      </c>
      <c r="AH186" s="153">
        <f t="shared" si="47"/>
        <v>0</v>
      </c>
      <c r="AI186" s="153"/>
      <c r="AJ186" s="153">
        <f t="shared" si="48"/>
        <v>0</v>
      </c>
      <c r="AK186" s="153">
        <f t="shared" si="49"/>
        <v>0</v>
      </c>
      <c r="AL186" s="153"/>
      <c r="AM186" s="153">
        <f>AK185*W185+AK186*W186</f>
        <v>0</v>
      </c>
      <c r="AN186" s="153">
        <f>(SUM(AD185:AG185)*W185+SUM(AD186:AG186)*W186)*12*VLOOKUP(C186,JNovergang,3,1)</f>
        <v>0</v>
      </c>
      <c r="AO186" s="153">
        <f>AM186-AN186</f>
        <v>0</v>
      </c>
      <c r="AP186" s="153">
        <f>M186*(100+X186)%</f>
        <v>0</v>
      </c>
      <c r="AQ186" s="248">
        <f>ROUND(M186*F186,2)</f>
        <v>0</v>
      </c>
      <c r="AS186" s="248">
        <f>ROUND((AP186+AQ186)+AM186*(N186/12),0)</f>
        <v>0</v>
      </c>
      <c r="AT186" s="248">
        <f>ROUND(AM186*(O186/12),0)</f>
        <v>0</v>
      </c>
      <c r="AU186" s="248">
        <f>ROUND(AM186*(P186/12)*U186,0)</f>
        <v>0</v>
      </c>
      <c r="AW186" s="129">
        <f t="shared" si="50"/>
        <v>0</v>
      </c>
    </row>
    <row r="187" spans="1:49" x14ac:dyDescent="0.15">
      <c r="A187" s="157"/>
      <c r="B187" s="158"/>
      <c r="C187" s="158"/>
      <c r="D187" s="149" t="str">
        <f t="shared" si="51"/>
        <v xml:space="preserve"> </v>
      </c>
      <c r="E187" s="161"/>
      <c r="F187" s="261">
        <v>0</v>
      </c>
      <c r="G187" s="161">
        <v>37</v>
      </c>
      <c r="H187" s="161">
        <v>37</v>
      </c>
      <c r="I187" s="161"/>
      <c r="J187" s="163"/>
      <c r="K187" s="161"/>
      <c r="L187" s="163"/>
      <c r="M187" s="150"/>
      <c r="N187" s="150"/>
      <c r="O187" s="150"/>
      <c r="P187" s="150"/>
      <c r="Q187" s="151"/>
      <c r="R187" s="151"/>
      <c r="S187" s="152"/>
      <c r="V187" s="129">
        <f t="shared" si="42"/>
        <v>0</v>
      </c>
      <c r="W187" s="129">
        <f t="shared" si="43"/>
        <v>0</v>
      </c>
      <c r="X187" s="129">
        <f t="shared" si="52"/>
        <v>0</v>
      </c>
      <c r="Y187" s="129">
        <f t="shared" si="44"/>
        <v>65.337800000000001</v>
      </c>
      <c r="Z187" s="153">
        <f t="shared" si="36"/>
        <v>0</v>
      </c>
      <c r="AA187" s="248">
        <f t="shared" si="37"/>
        <v>0</v>
      </c>
      <c r="AB187" s="153">
        <f t="shared" si="45"/>
        <v>0</v>
      </c>
      <c r="AC187" s="248">
        <f t="shared" si="38"/>
        <v>0</v>
      </c>
      <c r="AD187" s="153">
        <f t="shared" si="39"/>
        <v>0</v>
      </c>
      <c r="AE187" s="248">
        <f t="shared" si="40"/>
        <v>0</v>
      </c>
      <c r="AF187" s="153">
        <f t="shared" si="46"/>
        <v>0</v>
      </c>
      <c r="AG187" s="248">
        <f t="shared" si="41"/>
        <v>0</v>
      </c>
      <c r="AH187" s="153">
        <f t="shared" si="47"/>
        <v>0</v>
      </c>
      <c r="AI187" s="153"/>
      <c r="AJ187" s="153">
        <f t="shared" si="48"/>
        <v>0</v>
      </c>
      <c r="AK187" s="153">
        <f t="shared" si="49"/>
        <v>0</v>
      </c>
      <c r="AL187" s="153"/>
      <c r="AM187" s="153"/>
      <c r="AN187" s="153"/>
      <c r="AQ187" s="153"/>
      <c r="AW187" s="129">
        <f t="shared" si="50"/>
        <v>0</v>
      </c>
    </row>
    <row r="188" spans="1:49" ht="9.75" thickBot="1" x14ac:dyDescent="0.2">
      <c r="A188" s="159"/>
      <c r="B188" s="160"/>
      <c r="C188" s="160"/>
      <c r="D188" s="154" t="str">
        <f>VLOOKUP(C188,Tabelændringskode,2,1)</f>
        <v xml:space="preserve"> </v>
      </c>
      <c r="E188" s="162"/>
      <c r="F188" s="262">
        <v>0</v>
      </c>
      <c r="G188" s="162">
        <v>37</v>
      </c>
      <c r="H188" s="162">
        <v>37</v>
      </c>
      <c r="I188" s="162"/>
      <c r="J188" s="164"/>
      <c r="K188" s="162"/>
      <c r="L188" s="164"/>
      <c r="M188" s="164"/>
      <c r="N188" s="162"/>
      <c r="O188" s="162"/>
      <c r="P188" s="162"/>
      <c r="Q188" s="155">
        <f>AS188</f>
        <v>0</v>
      </c>
      <c r="R188" s="155">
        <f>AT188</f>
        <v>0</v>
      </c>
      <c r="S188" s="156">
        <f>AU188</f>
        <v>0</v>
      </c>
      <c r="U188" s="129">
        <f>IF(OR(C187=5,C188=5),0,1)</f>
        <v>1</v>
      </c>
      <c r="V188" s="129">
        <f t="shared" si="42"/>
        <v>0</v>
      </c>
      <c r="W188" s="129">
        <f t="shared" si="43"/>
        <v>0</v>
      </c>
      <c r="X188" s="129">
        <f t="shared" si="52"/>
        <v>0</v>
      </c>
      <c r="Y188" s="129">
        <f t="shared" si="44"/>
        <v>65.337800000000001</v>
      </c>
      <c r="Z188" s="153">
        <f t="shared" si="36"/>
        <v>0</v>
      </c>
      <c r="AA188" s="248">
        <f t="shared" si="37"/>
        <v>0</v>
      </c>
      <c r="AB188" s="153">
        <f t="shared" si="45"/>
        <v>0</v>
      </c>
      <c r="AC188" s="248">
        <f t="shared" si="38"/>
        <v>0</v>
      </c>
      <c r="AD188" s="153">
        <f t="shared" si="39"/>
        <v>0</v>
      </c>
      <c r="AE188" s="248">
        <f t="shared" si="40"/>
        <v>0</v>
      </c>
      <c r="AF188" s="153">
        <f t="shared" si="46"/>
        <v>0</v>
      </c>
      <c r="AG188" s="248">
        <f t="shared" si="41"/>
        <v>0</v>
      </c>
      <c r="AH188" s="153">
        <f t="shared" si="47"/>
        <v>0</v>
      </c>
      <c r="AI188" s="153"/>
      <c r="AJ188" s="153">
        <f t="shared" si="48"/>
        <v>0</v>
      </c>
      <c r="AK188" s="153">
        <f t="shared" si="49"/>
        <v>0</v>
      </c>
      <c r="AL188" s="153"/>
      <c r="AM188" s="153">
        <f>AK187*W187+AK188*W188</f>
        <v>0</v>
      </c>
      <c r="AN188" s="153">
        <f>(SUM(AD187:AG187)*W187+SUM(AD188:AG188)*W188)*12*VLOOKUP(C188,JNovergang,3,1)</f>
        <v>0</v>
      </c>
      <c r="AO188" s="153">
        <f>AM188-AN188</f>
        <v>0</v>
      </c>
      <c r="AP188" s="153">
        <f>M188*(100+X188)%</f>
        <v>0</v>
      </c>
      <c r="AQ188" s="248">
        <f>ROUND(M188*F188,2)</f>
        <v>0</v>
      </c>
      <c r="AS188" s="248">
        <f>ROUND((AP188+AQ188)+AM188*(N188/12),0)</f>
        <v>0</v>
      </c>
      <c r="AT188" s="248">
        <f>ROUND(AM188*(O188/12),0)</f>
        <v>0</v>
      </c>
      <c r="AU188" s="248">
        <f>ROUND(AM188*(P188/12)*U188,0)</f>
        <v>0</v>
      </c>
      <c r="AW188" s="129">
        <f t="shared" si="50"/>
        <v>0</v>
      </c>
    </row>
    <row r="189" spans="1:49" x14ac:dyDescent="0.15">
      <c r="A189" s="157"/>
      <c r="B189" s="158"/>
      <c r="C189" s="158"/>
      <c r="D189" s="149" t="str">
        <f t="shared" si="51"/>
        <v xml:space="preserve"> </v>
      </c>
      <c r="E189" s="161"/>
      <c r="F189" s="261">
        <v>0</v>
      </c>
      <c r="G189" s="161">
        <v>37</v>
      </c>
      <c r="H189" s="161">
        <v>37</v>
      </c>
      <c r="I189" s="161"/>
      <c r="J189" s="163"/>
      <c r="K189" s="161"/>
      <c r="L189" s="163"/>
      <c r="M189" s="150"/>
      <c r="N189" s="150"/>
      <c r="O189" s="150"/>
      <c r="P189" s="150"/>
      <c r="Q189" s="151"/>
      <c r="R189" s="151"/>
      <c r="S189" s="152"/>
      <c r="V189" s="129">
        <f t="shared" si="42"/>
        <v>0</v>
      </c>
      <c r="W189" s="129">
        <f t="shared" si="43"/>
        <v>0</v>
      </c>
      <c r="X189" s="129">
        <f t="shared" si="52"/>
        <v>0</v>
      </c>
      <c r="Y189" s="129">
        <f t="shared" si="44"/>
        <v>65.337800000000001</v>
      </c>
      <c r="Z189" s="153">
        <f t="shared" si="36"/>
        <v>0</v>
      </c>
      <c r="AA189" s="248">
        <f t="shared" si="37"/>
        <v>0</v>
      </c>
      <c r="AB189" s="153">
        <f t="shared" si="45"/>
        <v>0</v>
      </c>
      <c r="AC189" s="248">
        <f t="shared" si="38"/>
        <v>0</v>
      </c>
      <c r="AD189" s="153">
        <f t="shared" si="39"/>
        <v>0</v>
      </c>
      <c r="AE189" s="248">
        <f t="shared" si="40"/>
        <v>0</v>
      </c>
      <c r="AF189" s="153">
        <f t="shared" si="46"/>
        <v>0</v>
      </c>
      <c r="AG189" s="248">
        <f t="shared" si="41"/>
        <v>0</v>
      </c>
      <c r="AH189" s="153">
        <f t="shared" si="47"/>
        <v>0</v>
      </c>
      <c r="AI189" s="153"/>
      <c r="AJ189" s="153">
        <f t="shared" si="48"/>
        <v>0</v>
      </c>
      <c r="AK189" s="153">
        <f t="shared" si="49"/>
        <v>0</v>
      </c>
      <c r="AL189" s="153"/>
      <c r="AM189" s="153"/>
      <c r="AN189" s="153"/>
      <c r="AQ189" s="153"/>
      <c r="AW189" s="129">
        <f t="shared" si="50"/>
        <v>0</v>
      </c>
    </row>
    <row r="190" spans="1:49" ht="9.75" thickBot="1" x14ac:dyDescent="0.2">
      <c r="A190" s="159"/>
      <c r="B190" s="160"/>
      <c r="C190" s="160"/>
      <c r="D190" s="154" t="str">
        <f>VLOOKUP(C190,Tabelændringskode,2,1)</f>
        <v xml:space="preserve"> </v>
      </c>
      <c r="E190" s="162"/>
      <c r="F190" s="262">
        <v>0</v>
      </c>
      <c r="G190" s="162">
        <v>37</v>
      </c>
      <c r="H190" s="162">
        <v>37</v>
      </c>
      <c r="I190" s="162"/>
      <c r="J190" s="164"/>
      <c r="K190" s="162"/>
      <c r="L190" s="164"/>
      <c r="M190" s="164"/>
      <c r="N190" s="162"/>
      <c r="O190" s="162"/>
      <c r="P190" s="162"/>
      <c r="Q190" s="155">
        <f>AS190</f>
        <v>0</v>
      </c>
      <c r="R190" s="155">
        <f>AT190</f>
        <v>0</v>
      </c>
      <c r="S190" s="156">
        <f>AU190</f>
        <v>0</v>
      </c>
      <c r="U190" s="129">
        <f>IF(OR(C189=5,C190=5),0,1)</f>
        <v>1</v>
      </c>
      <c r="V190" s="129">
        <f t="shared" si="42"/>
        <v>0</v>
      </c>
      <c r="W190" s="129">
        <f t="shared" si="43"/>
        <v>0</v>
      </c>
      <c r="X190" s="129">
        <f t="shared" si="52"/>
        <v>0</v>
      </c>
      <c r="Y190" s="129">
        <f t="shared" si="44"/>
        <v>65.337800000000001</v>
      </c>
      <c r="Z190" s="153">
        <f t="shared" si="36"/>
        <v>0</v>
      </c>
      <c r="AA190" s="248">
        <f t="shared" si="37"/>
        <v>0</v>
      </c>
      <c r="AB190" s="153">
        <f t="shared" si="45"/>
        <v>0</v>
      </c>
      <c r="AC190" s="248">
        <f t="shared" si="38"/>
        <v>0</v>
      </c>
      <c r="AD190" s="153">
        <f t="shared" si="39"/>
        <v>0</v>
      </c>
      <c r="AE190" s="248">
        <f t="shared" si="40"/>
        <v>0</v>
      </c>
      <c r="AF190" s="153">
        <f t="shared" si="46"/>
        <v>0</v>
      </c>
      <c r="AG190" s="248">
        <f t="shared" si="41"/>
        <v>0</v>
      </c>
      <c r="AH190" s="153">
        <f t="shared" si="47"/>
        <v>0</v>
      </c>
      <c r="AI190" s="153"/>
      <c r="AJ190" s="153">
        <f t="shared" si="48"/>
        <v>0</v>
      </c>
      <c r="AK190" s="153">
        <f t="shared" si="49"/>
        <v>0</v>
      </c>
      <c r="AL190" s="153"/>
      <c r="AM190" s="153">
        <f>AK189*W189+AK190*W190</f>
        <v>0</v>
      </c>
      <c r="AN190" s="153">
        <f>(SUM(AD189:AG189)*W189+SUM(AD190:AG190)*W190)*12*VLOOKUP(C190,JNovergang,3,1)</f>
        <v>0</v>
      </c>
      <c r="AO190" s="153">
        <f>AM190-AN190</f>
        <v>0</v>
      </c>
      <c r="AP190" s="153">
        <f>M190*(100+X190)%</f>
        <v>0</v>
      </c>
      <c r="AQ190" s="248">
        <f>ROUND(M190*F190,2)</f>
        <v>0</v>
      </c>
      <c r="AS190" s="248">
        <f>ROUND((AP190+AQ190)+AM190*(N190/12),0)</f>
        <v>0</v>
      </c>
      <c r="AT190" s="248">
        <f>ROUND(AM190*(O190/12),0)</f>
        <v>0</v>
      </c>
      <c r="AU190" s="248">
        <f>ROUND(AM190*(P190/12)*U190,0)</f>
        <v>0</v>
      </c>
      <c r="AW190" s="129">
        <f t="shared" si="50"/>
        <v>0</v>
      </c>
    </row>
    <row r="191" spans="1:49" x14ac:dyDescent="0.15">
      <c r="A191" s="157"/>
      <c r="B191" s="158"/>
      <c r="C191" s="158"/>
      <c r="D191" s="149" t="str">
        <f t="shared" si="51"/>
        <v xml:space="preserve"> </v>
      </c>
      <c r="E191" s="161"/>
      <c r="F191" s="261">
        <v>0</v>
      </c>
      <c r="G191" s="161">
        <v>37</v>
      </c>
      <c r="H191" s="161">
        <v>37</v>
      </c>
      <c r="I191" s="161"/>
      <c r="J191" s="163"/>
      <c r="K191" s="161"/>
      <c r="L191" s="163"/>
      <c r="M191" s="150"/>
      <c r="N191" s="150"/>
      <c r="O191" s="150"/>
      <c r="P191" s="150"/>
      <c r="Q191" s="151"/>
      <c r="R191" s="151"/>
      <c r="S191" s="152"/>
      <c r="V191" s="129">
        <f t="shared" si="42"/>
        <v>0</v>
      </c>
      <c r="W191" s="129">
        <f t="shared" si="43"/>
        <v>0</v>
      </c>
      <c r="X191" s="129">
        <f t="shared" si="52"/>
        <v>0</v>
      </c>
      <c r="Y191" s="129">
        <f t="shared" si="44"/>
        <v>65.337800000000001</v>
      </c>
      <c r="Z191" s="153">
        <f t="shared" si="36"/>
        <v>0</v>
      </c>
      <c r="AA191" s="248">
        <f t="shared" si="37"/>
        <v>0</v>
      </c>
      <c r="AB191" s="153">
        <f t="shared" si="45"/>
        <v>0</v>
      </c>
      <c r="AC191" s="248">
        <f t="shared" si="38"/>
        <v>0</v>
      </c>
      <c r="AD191" s="153">
        <f t="shared" si="39"/>
        <v>0</v>
      </c>
      <c r="AE191" s="248">
        <f t="shared" si="40"/>
        <v>0</v>
      </c>
      <c r="AF191" s="153">
        <f t="shared" si="46"/>
        <v>0</v>
      </c>
      <c r="AG191" s="248">
        <f t="shared" si="41"/>
        <v>0</v>
      </c>
      <c r="AH191" s="153">
        <f t="shared" si="47"/>
        <v>0</v>
      </c>
      <c r="AI191" s="153"/>
      <c r="AJ191" s="153">
        <f t="shared" si="48"/>
        <v>0</v>
      </c>
      <c r="AK191" s="153">
        <f t="shared" si="49"/>
        <v>0</v>
      </c>
      <c r="AL191" s="153"/>
      <c r="AM191" s="153"/>
      <c r="AN191" s="153"/>
      <c r="AQ191" s="153"/>
      <c r="AW191" s="129">
        <f t="shared" si="50"/>
        <v>0</v>
      </c>
    </row>
    <row r="192" spans="1:49" ht="9.75" thickBot="1" x14ac:dyDescent="0.2">
      <c r="A192" s="159"/>
      <c r="B192" s="160"/>
      <c r="C192" s="160"/>
      <c r="D192" s="154" t="str">
        <f>VLOOKUP(C192,Tabelændringskode,2,1)</f>
        <v xml:space="preserve"> </v>
      </c>
      <c r="E192" s="162"/>
      <c r="F192" s="262">
        <v>0</v>
      </c>
      <c r="G192" s="162">
        <v>37</v>
      </c>
      <c r="H192" s="162">
        <v>37</v>
      </c>
      <c r="I192" s="162"/>
      <c r="J192" s="164"/>
      <c r="K192" s="162"/>
      <c r="L192" s="164"/>
      <c r="M192" s="164"/>
      <c r="N192" s="162"/>
      <c r="O192" s="162"/>
      <c r="P192" s="162"/>
      <c r="Q192" s="155">
        <f>AS192</f>
        <v>0</v>
      </c>
      <c r="R192" s="155">
        <f>AT192</f>
        <v>0</v>
      </c>
      <c r="S192" s="156">
        <f>AU192</f>
        <v>0</v>
      </c>
      <c r="U192" s="129">
        <f>IF(OR(C191=5,C192=5),0,1)</f>
        <v>1</v>
      </c>
      <c r="V192" s="129">
        <f t="shared" si="42"/>
        <v>0</v>
      </c>
      <c r="W192" s="129">
        <f t="shared" si="43"/>
        <v>0</v>
      </c>
      <c r="X192" s="129">
        <f t="shared" si="52"/>
        <v>0</v>
      </c>
      <c r="Y192" s="129">
        <f t="shared" si="44"/>
        <v>65.337800000000001</v>
      </c>
      <c r="Z192" s="153">
        <f t="shared" si="36"/>
        <v>0</v>
      </c>
      <c r="AA192" s="248">
        <f t="shared" si="37"/>
        <v>0</v>
      </c>
      <c r="AB192" s="153">
        <f t="shared" si="45"/>
        <v>0</v>
      </c>
      <c r="AC192" s="248">
        <f t="shared" si="38"/>
        <v>0</v>
      </c>
      <c r="AD192" s="153">
        <f t="shared" si="39"/>
        <v>0</v>
      </c>
      <c r="AE192" s="248">
        <f t="shared" si="40"/>
        <v>0</v>
      </c>
      <c r="AF192" s="153">
        <f t="shared" si="46"/>
        <v>0</v>
      </c>
      <c r="AG192" s="248">
        <f t="shared" si="41"/>
        <v>0</v>
      </c>
      <c r="AH192" s="153">
        <f t="shared" si="47"/>
        <v>0</v>
      </c>
      <c r="AI192" s="153"/>
      <c r="AJ192" s="153">
        <f t="shared" si="48"/>
        <v>0</v>
      </c>
      <c r="AK192" s="153">
        <f t="shared" si="49"/>
        <v>0</v>
      </c>
      <c r="AL192" s="153"/>
      <c r="AM192" s="153">
        <f>AK191*W191+AK192*W192</f>
        <v>0</v>
      </c>
      <c r="AN192" s="153">
        <f>(SUM(AD191:AG191)*W191+SUM(AD192:AG192)*W192)*12*VLOOKUP(C192,JNovergang,3,1)</f>
        <v>0</v>
      </c>
      <c r="AO192" s="153">
        <f>AM192-AN192</f>
        <v>0</v>
      </c>
      <c r="AP192" s="153">
        <f>M192*(100+X192)%</f>
        <v>0</v>
      </c>
      <c r="AQ192" s="248">
        <f>ROUND(M192*F192,2)</f>
        <v>0</v>
      </c>
      <c r="AS192" s="248">
        <f>ROUND((AP192+AQ192)+AM192*(N192/12),0)</f>
        <v>0</v>
      </c>
      <c r="AT192" s="248">
        <f>ROUND(AM192*(O192/12),0)</f>
        <v>0</v>
      </c>
      <c r="AU192" s="248">
        <f>ROUND(AM192*(P192/12)*U192,0)</f>
        <v>0</v>
      </c>
      <c r="AW192" s="129">
        <f t="shared" si="50"/>
        <v>0</v>
      </c>
    </row>
    <row r="193" spans="1:49" x14ac:dyDescent="0.15">
      <c r="A193" s="157"/>
      <c r="B193" s="158"/>
      <c r="C193" s="158"/>
      <c r="D193" s="149" t="str">
        <f t="shared" si="51"/>
        <v xml:space="preserve"> </v>
      </c>
      <c r="E193" s="161"/>
      <c r="F193" s="261">
        <v>0</v>
      </c>
      <c r="G193" s="161">
        <v>37</v>
      </c>
      <c r="H193" s="161">
        <v>37</v>
      </c>
      <c r="I193" s="161"/>
      <c r="J193" s="163"/>
      <c r="K193" s="161"/>
      <c r="L193" s="163"/>
      <c r="M193" s="150"/>
      <c r="N193" s="150"/>
      <c r="O193" s="150"/>
      <c r="P193" s="150"/>
      <c r="Q193" s="151"/>
      <c r="R193" s="151"/>
      <c r="S193" s="152"/>
      <c r="V193" s="129">
        <f t="shared" si="42"/>
        <v>0</v>
      </c>
      <c r="W193" s="129">
        <f t="shared" si="43"/>
        <v>0</v>
      </c>
      <c r="X193" s="129">
        <f t="shared" si="52"/>
        <v>0</v>
      </c>
      <c r="Y193" s="129">
        <f t="shared" si="44"/>
        <v>65.337800000000001</v>
      </c>
      <c r="Z193" s="153">
        <f t="shared" si="36"/>
        <v>0</v>
      </c>
      <c r="AA193" s="248">
        <f t="shared" si="37"/>
        <v>0</v>
      </c>
      <c r="AB193" s="153">
        <f t="shared" si="45"/>
        <v>0</v>
      </c>
      <c r="AC193" s="248">
        <f t="shared" si="38"/>
        <v>0</v>
      </c>
      <c r="AD193" s="153">
        <f t="shared" si="39"/>
        <v>0</v>
      </c>
      <c r="AE193" s="248">
        <f t="shared" si="40"/>
        <v>0</v>
      </c>
      <c r="AF193" s="153">
        <f t="shared" si="46"/>
        <v>0</v>
      </c>
      <c r="AG193" s="248">
        <f t="shared" si="41"/>
        <v>0</v>
      </c>
      <c r="AH193" s="153">
        <f t="shared" si="47"/>
        <v>0</v>
      </c>
      <c r="AI193" s="153"/>
      <c r="AJ193" s="153">
        <f t="shared" si="48"/>
        <v>0</v>
      </c>
      <c r="AK193" s="153">
        <f t="shared" si="49"/>
        <v>0</v>
      </c>
      <c r="AL193" s="153"/>
      <c r="AM193" s="153"/>
      <c r="AN193" s="153"/>
      <c r="AQ193" s="153"/>
      <c r="AW193" s="129">
        <f t="shared" si="50"/>
        <v>0</v>
      </c>
    </row>
    <row r="194" spans="1:49" ht="9.75" thickBot="1" x14ac:dyDescent="0.2">
      <c r="A194" s="159"/>
      <c r="B194" s="160"/>
      <c r="C194" s="160"/>
      <c r="D194" s="154" t="str">
        <f>VLOOKUP(C194,Tabelændringskode,2,1)</f>
        <v xml:space="preserve"> </v>
      </c>
      <c r="E194" s="162"/>
      <c r="F194" s="262">
        <v>0</v>
      </c>
      <c r="G194" s="162">
        <v>37</v>
      </c>
      <c r="H194" s="162">
        <v>37</v>
      </c>
      <c r="I194" s="162"/>
      <c r="J194" s="164"/>
      <c r="K194" s="162"/>
      <c r="L194" s="164"/>
      <c r="M194" s="164"/>
      <c r="N194" s="162"/>
      <c r="O194" s="162"/>
      <c r="P194" s="162"/>
      <c r="Q194" s="155">
        <f>AS194</f>
        <v>0</v>
      </c>
      <c r="R194" s="155">
        <f>AT194</f>
        <v>0</v>
      </c>
      <c r="S194" s="156">
        <f>AU194</f>
        <v>0</v>
      </c>
      <c r="U194" s="129">
        <f>IF(OR(C193=5,C194=5),0,1)</f>
        <v>1</v>
      </c>
      <c r="V194" s="129">
        <f t="shared" si="42"/>
        <v>0</v>
      </c>
      <c r="W194" s="129">
        <f t="shared" si="43"/>
        <v>0</v>
      </c>
      <c r="X194" s="129">
        <f t="shared" si="52"/>
        <v>0</v>
      </c>
      <c r="Y194" s="129">
        <f t="shared" si="44"/>
        <v>65.337800000000001</v>
      </c>
      <c r="Z194" s="153">
        <f t="shared" si="36"/>
        <v>0</v>
      </c>
      <c r="AA194" s="248">
        <f t="shared" si="37"/>
        <v>0</v>
      </c>
      <c r="AB194" s="153">
        <f t="shared" si="45"/>
        <v>0</v>
      </c>
      <c r="AC194" s="248">
        <f t="shared" si="38"/>
        <v>0</v>
      </c>
      <c r="AD194" s="153">
        <f t="shared" si="39"/>
        <v>0</v>
      </c>
      <c r="AE194" s="248">
        <f t="shared" si="40"/>
        <v>0</v>
      </c>
      <c r="AF194" s="153">
        <f t="shared" si="46"/>
        <v>0</v>
      </c>
      <c r="AG194" s="248">
        <f t="shared" si="41"/>
        <v>0</v>
      </c>
      <c r="AH194" s="153">
        <f t="shared" si="47"/>
        <v>0</v>
      </c>
      <c r="AI194" s="153"/>
      <c r="AJ194" s="153">
        <f t="shared" si="48"/>
        <v>0</v>
      </c>
      <c r="AK194" s="153">
        <f t="shared" si="49"/>
        <v>0</v>
      </c>
      <c r="AL194" s="153"/>
      <c r="AM194" s="153">
        <f>AK193*W193+AK194*W194</f>
        <v>0</v>
      </c>
      <c r="AN194" s="153">
        <f>(SUM(AD193:AG193)*W193+SUM(AD194:AG194)*W194)*12*VLOOKUP(C194,JNovergang,3,1)</f>
        <v>0</v>
      </c>
      <c r="AO194" s="153">
        <f>AM194-AN194</f>
        <v>0</v>
      </c>
      <c r="AP194" s="153">
        <f>M194*(100+X194)%</f>
        <v>0</v>
      </c>
      <c r="AQ194" s="248">
        <f>ROUND(M194*F194,2)</f>
        <v>0</v>
      </c>
      <c r="AS194" s="248">
        <f>ROUND((AP194+AQ194)+AM194*(N194/12),0)</f>
        <v>0</v>
      </c>
      <c r="AT194" s="248">
        <f>ROUND(AM194*(O194/12),0)</f>
        <v>0</v>
      </c>
      <c r="AU194" s="248">
        <f>ROUND(AM194*(P194/12)*U194,0)</f>
        <v>0</v>
      </c>
      <c r="AW194" s="129">
        <f t="shared" si="50"/>
        <v>0</v>
      </c>
    </row>
    <row r="195" spans="1:49" x14ac:dyDescent="0.15">
      <c r="A195" s="157"/>
      <c r="B195" s="158"/>
      <c r="C195" s="158"/>
      <c r="D195" s="149" t="str">
        <f t="shared" si="51"/>
        <v xml:space="preserve"> </v>
      </c>
      <c r="E195" s="161"/>
      <c r="F195" s="261">
        <v>0</v>
      </c>
      <c r="G195" s="161">
        <v>37</v>
      </c>
      <c r="H195" s="161">
        <v>37</v>
      </c>
      <c r="I195" s="161"/>
      <c r="J195" s="163"/>
      <c r="K195" s="161"/>
      <c r="L195" s="163"/>
      <c r="M195" s="150"/>
      <c r="N195" s="150"/>
      <c r="O195" s="150"/>
      <c r="P195" s="150"/>
      <c r="Q195" s="151"/>
      <c r="R195" s="151"/>
      <c r="S195" s="152"/>
      <c r="V195" s="129">
        <f t="shared" si="42"/>
        <v>0</v>
      </c>
      <c r="W195" s="129">
        <f t="shared" si="43"/>
        <v>0</v>
      </c>
      <c r="X195" s="129">
        <f t="shared" si="52"/>
        <v>0</v>
      </c>
      <c r="Y195" s="129">
        <f t="shared" si="44"/>
        <v>65.337800000000001</v>
      </c>
      <c r="Z195" s="153">
        <f t="shared" si="36"/>
        <v>0</v>
      </c>
      <c r="AA195" s="248">
        <f t="shared" si="37"/>
        <v>0</v>
      </c>
      <c r="AB195" s="153">
        <f t="shared" si="45"/>
        <v>0</v>
      </c>
      <c r="AC195" s="248">
        <f t="shared" si="38"/>
        <v>0</v>
      </c>
      <c r="AD195" s="153">
        <f t="shared" si="39"/>
        <v>0</v>
      </c>
      <c r="AE195" s="248">
        <f t="shared" si="40"/>
        <v>0</v>
      </c>
      <c r="AF195" s="153">
        <f t="shared" si="46"/>
        <v>0</v>
      </c>
      <c r="AG195" s="248">
        <f t="shared" si="41"/>
        <v>0</v>
      </c>
      <c r="AH195" s="153">
        <f t="shared" si="47"/>
        <v>0</v>
      </c>
      <c r="AI195" s="153"/>
      <c r="AJ195" s="153">
        <f t="shared" si="48"/>
        <v>0</v>
      </c>
      <c r="AK195" s="153">
        <f t="shared" si="49"/>
        <v>0</v>
      </c>
      <c r="AL195" s="153"/>
      <c r="AM195" s="153"/>
      <c r="AN195" s="153"/>
      <c r="AQ195" s="153"/>
      <c r="AW195" s="129">
        <f t="shared" si="50"/>
        <v>0</v>
      </c>
    </row>
    <row r="196" spans="1:49" ht="9.75" thickBot="1" x14ac:dyDescent="0.2">
      <c r="A196" s="159"/>
      <c r="B196" s="160"/>
      <c r="C196" s="160"/>
      <c r="D196" s="154" t="str">
        <f>VLOOKUP(C196,Tabelændringskode,2,1)</f>
        <v xml:space="preserve"> </v>
      </c>
      <c r="E196" s="162"/>
      <c r="F196" s="262">
        <v>0</v>
      </c>
      <c r="G196" s="162">
        <v>37</v>
      </c>
      <c r="H196" s="162">
        <v>37</v>
      </c>
      <c r="I196" s="162"/>
      <c r="J196" s="164"/>
      <c r="K196" s="162"/>
      <c r="L196" s="164"/>
      <c r="M196" s="164"/>
      <c r="N196" s="162"/>
      <c r="O196" s="162"/>
      <c r="P196" s="162"/>
      <c r="Q196" s="155">
        <f>AS196</f>
        <v>0</v>
      </c>
      <c r="R196" s="155">
        <f>AT196</f>
        <v>0</v>
      </c>
      <c r="S196" s="156">
        <f>AU196</f>
        <v>0</v>
      </c>
      <c r="U196" s="129">
        <f>IF(OR(C195=5,C196=5),0,1)</f>
        <v>1</v>
      </c>
      <c r="V196" s="129">
        <f t="shared" si="42"/>
        <v>0</v>
      </c>
      <c r="W196" s="129">
        <f t="shared" si="43"/>
        <v>0</v>
      </c>
      <c r="X196" s="129">
        <f t="shared" si="52"/>
        <v>0</v>
      </c>
      <c r="Y196" s="129">
        <f t="shared" si="44"/>
        <v>65.337800000000001</v>
      </c>
      <c r="Z196" s="153">
        <f t="shared" si="36"/>
        <v>0</v>
      </c>
      <c r="AA196" s="248">
        <f t="shared" si="37"/>
        <v>0</v>
      </c>
      <c r="AB196" s="153">
        <f t="shared" si="45"/>
        <v>0</v>
      </c>
      <c r="AC196" s="248">
        <f t="shared" si="38"/>
        <v>0</v>
      </c>
      <c r="AD196" s="153">
        <f t="shared" si="39"/>
        <v>0</v>
      </c>
      <c r="AE196" s="248">
        <f t="shared" si="40"/>
        <v>0</v>
      </c>
      <c r="AF196" s="153">
        <f t="shared" si="46"/>
        <v>0</v>
      </c>
      <c r="AG196" s="248">
        <f t="shared" si="41"/>
        <v>0</v>
      </c>
      <c r="AH196" s="153">
        <f t="shared" si="47"/>
        <v>0</v>
      </c>
      <c r="AI196" s="153"/>
      <c r="AJ196" s="153">
        <f t="shared" si="48"/>
        <v>0</v>
      </c>
      <c r="AK196" s="153">
        <f t="shared" si="49"/>
        <v>0</v>
      </c>
      <c r="AL196" s="153"/>
      <c r="AM196" s="153">
        <f>AK195*W195+AK196*W196</f>
        <v>0</v>
      </c>
      <c r="AN196" s="153">
        <f>(SUM(AD195:AG195)*W195+SUM(AD196:AG196)*W196)*12*VLOOKUP(C196,JNovergang,3,1)</f>
        <v>0</v>
      </c>
      <c r="AO196" s="153">
        <f>AM196-AN196</f>
        <v>0</v>
      </c>
      <c r="AP196" s="153">
        <f>M196*(100+X196)%</f>
        <v>0</v>
      </c>
      <c r="AQ196" s="248">
        <f>ROUND(M196*F196,2)</f>
        <v>0</v>
      </c>
      <c r="AS196" s="248">
        <f>ROUND((AP196+AQ196)+AM196*(N196/12),0)</f>
        <v>0</v>
      </c>
      <c r="AT196" s="248">
        <f>ROUND(AM196*(O196/12),0)</f>
        <v>0</v>
      </c>
      <c r="AU196" s="248">
        <f>ROUND(AM196*(P196/12)*U196,0)</f>
        <v>0</v>
      </c>
      <c r="AW196" s="129">
        <f t="shared" si="50"/>
        <v>0</v>
      </c>
    </row>
    <row r="197" spans="1:49" x14ac:dyDescent="0.15">
      <c r="A197" s="157"/>
      <c r="B197" s="158"/>
      <c r="C197" s="158"/>
      <c r="D197" s="149" t="str">
        <f t="shared" ref="D197:D259" si="53">VLOOKUP(C197,Tabelændringskode,2,1)</f>
        <v xml:space="preserve"> </v>
      </c>
      <c r="E197" s="161"/>
      <c r="F197" s="261">
        <v>0</v>
      </c>
      <c r="G197" s="161">
        <v>37</v>
      </c>
      <c r="H197" s="161">
        <v>37</v>
      </c>
      <c r="I197" s="161"/>
      <c r="J197" s="163"/>
      <c r="K197" s="161"/>
      <c r="L197" s="163"/>
      <c r="M197" s="150"/>
      <c r="N197" s="150"/>
      <c r="O197" s="150"/>
      <c r="P197" s="150"/>
      <c r="Q197" s="151"/>
      <c r="R197" s="151"/>
      <c r="S197" s="152"/>
      <c r="V197" s="129">
        <f t="shared" si="42"/>
        <v>0</v>
      </c>
      <c r="W197" s="129">
        <f t="shared" si="43"/>
        <v>0</v>
      </c>
      <c r="X197" s="129">
        <f t="shared" si="52"/>
        <v>0</v>
      </c>
      <c r="Y197" s="129">
        <f t="shared" si="44"/>
        <v>65.337800000000001</v>
      </c>
      <c r="Z197" s="153">
        <f t="shared" si="36"/>
        <v>0</v>
      </c>
      <c r="AA197" s="248">
        <f t="shared" si="37"/>
        <v>0</v>
      </c>
      <c r="AB197" s="153">
        <f t="shared" si="45"/>
        <v>0</v>
      </c>
      <c r="AC197" s="248">
        <f t="shared" si="38"/>
        <v>0</v>
      </c>
      <c r="AD197" s="153">
        <f t="shared" si="39"/>
        <v>0</v>
      </c>
      <c r="AE197" s="248">
        <f t="shared" si="40"/>
        <v>0</v>
      </c>
      <c r="AF197" s="153">
        <f t="shared" si="46"/>
        <v>0</v>
      </c>
      <c r="AG197" s="248">
        <f t="shared" si="41"/>
        <v>0</v>
      </c>
      <c r="AH197" s="153">
        <f t="shared" si="47"/>
        <v>0</v>
      </c>
      <c r="AI197" s="153"/>
      <c r="AJ197" s="153">
        <f t="shared" si="48"/>
        <v>0</v>
      </c>
      <c r="AK197" s="153">
        <f t="shared" si="49"/>
        <v>0</v>
      </c>
      <c r="AL197" s="153"/>
      <c r="AM197" s="153"/>
      <c r="AN197" s="153"/>
      <c r="AQ197" s="153"/>
      <c r="AW197" s="129">
        <f t="shared" si="50"/>
        <v>0</v>
      </c>
    </row>
    <row r="198" spans="1:49" ht="9.75" thickBot="1" x14ac:dyDescent="0.2">
      <c r="A198" s="159"/>
      <c r="B198" s="160"/>
      <c r="C198" s="160"/>
      <c r="D198" s="154" t="str">
        <f t="shared" si="53"/>
        <v xml:space="preserve"> </v>
      </c>
      <c r="E198" s="162"/>
      <c r="F198" s="262">
        <v>0</v>
      </c>
      <c r="G198" s="162">
        <v>37</v>
      </c>
      <c r="H198" s="162">
        <v>37</v>
      </c>
      <c r="I198" s="162"/>
      <c r="J198" s="164"/>
      <c r="K198" s="162"/>
      <c r="L198" s="164"/>
      <c r="M198" s="164"/>
      <c r="N198" s="162"/>
      <c r="O198" s="162"/>
      <c r="P198" s="162"/>
      <c r="Q198" s="155">
        <f>AS198</f>
        <v>0</v>
      </c>
      <c r="R198" s="155">
        <f>AT198</f>
        <v>0</v>
      </c>
      <c r="S198" s="156">
        <f>AU198</f>
        <v>0</v>
      </c>
      <c r="U198" s="129">
        <f>IF(OR(C197=5,C198=5),0,1)</f>
        <v>1</v>
      </c>
      <c r="V198" s="129">
        <f t="shared" si="42"/>
        <v>0</v>
      </c>
      <c r="W198" s="129">
        <f t="shared" si="43"/>
        <v>0</v>
      </c>
      <c r="X198" s="129">
        <f t="shared" si="52"/>
        <v>0</v>
      </c>
      <c r="Y198" s="129">
        <f t="shared" si="44"/>
        <v>65.337800000000001</v>
      </c>
      <c r="Z198" s="153">
        <f t="shared" si="36"/>
        <v>0</v>
      </c>
      <c r="AA198" s="248">
        <f t="shared" si="37"/>
        <v>0</v>
      </c>
      <c r="AB198" s="153">
        <f t="shared" si="45"/>
        <v>0</v>
      </c>
      <c r="AC198" s="248">
        <f t="shared" si="38"/>
        <v>0</v>
      </c>
      <c r="AD198" s="153">
        <f t="shared" si="39"/>
        <v>0</v>
      </c>
      <c r="AE198" s="248">
        <f t="shared" si="40"/>
        <v>0</v>
      </c>
      <c r="AF198" s="153">
        <f t="shared" si="46"/>
        <v>0</v>
      </c>
      <c r="AG198" s="248">
        <f t="shared" si="41"/>
        <v>0</v>
      </c>
      <c r="AH198" s="153">
        <f t="shared" si="47"/>
        <v>0</v>
      </c>
      <c r="AI198" s="153"/>
      <c r="AJ198" s="153">
        <f t="shared" si="48"/>
        <v>0</v>
      </c>
      <c r="AK198" s="153">
        <f t="shared" si="49"/>
        <v>0</v>
      </c>
      <c r="AL198" s="153"/>
      <c r="AM198" s="153">
        <f>AK197*W197+AK198*W198</f>
        <v>0</v>
      </c>
      <c r="AN198" s="153">
        <f>(SUM(AD197:AG197)*W197+SUM(AD198:AG198)*W198)*12*VLOOKUP(C198,JNovergang,3,1)</f>
        <v>0</v>
      </c>
      <c r="AO198" s="153">
        <f>AM198-AN198</f>
        <v>0</v>
      </c>
      <c r="AP198" s="153">
        <f>M198*(100+X198)%</f>
        <v>0</v>
      </c>
      <c r="AQ198" s="248">
        <f>ROUND(M198*F198,2)</f>
        <v>0</v>
      </c>
      <c r="AS198" s="248">
        <f>ROUND((AP198+AQ198)+AM198*(N198/12),0)</f>
        <v>0</v>
      </c>
      <c r="AT198" s="248">
        <f>ROUND(AM198*(O198/12),0)</f>
        <v>0</v>
      </c>
      <c r="AU198" s="248">
        <f>ROUND(AM198*(P198/12)*U198,0)</f>
        <v>0</v>
      </c>
      <c r="AW198" s="129">
        <f t="shared" si="50"/>
        <v>0</v>
      </c>
    </row>
    <row r="199" spans="1:49" x14ac:dyDescent="0.15">
      <c r="A199" s="157"/>
      <c r="B199" s="158"/>
      <c r="C199" s="158"/>
      <c r="D199" s="149" t="str">
        <f t="shared" si="53"/>
        <v xml:space="preserve"> </v>
      </c>
      <c r="E199" s="161"/>
      <c r="F199" s="261">
        <v>0</v>
      </c>
      <c r="G199" s="161">
        <v>37</v>
      </c>
      <c r="H199" s="161">
        <v>37</v>
      </c>
      <c r="I199" s="161"/>
      <c r="J199" s="163"/>
      <c r="K199" s="161"/>
      <c r="L199" s="163"/>
      <c r="M199" s="150"/>
      <c r="N199" s="150"/>
      <c r="O199" s="150"/>
      <c r="P199" s="150"/>
      <c r="Q199" s="151"/>
      <c r="R199" s="151"/>
      <c r="S199" s="152"/>
      <c r="V199" s="129">
        <f t="shared" si="42"/>
        <v>0</v>
      </c>
      <c r="W199" s="129">
        <f t="shared" si="43"/>
        <v>0</v>
      </c>
      <c r="X199" s="129">
        <f t="shared" si="52"/>
        <v>0</v>
      </c>
      <c r="Y199" s="129">
        <f t="shared" si="44"/>
        <v>65.337800000000001</v>
      </c>
      <c r="Z199" s="153">
        <f t="shared" si="36"/>
        <v>0</v>
      </c>
      <c r="AA199" s="248">
        <f t="shared" si="37"/>
        <v>0</v>
      </c>
      <c r="AB199" s="153">
        <f t="shared" si="45"/>
        <v>0</v>
      </c>
      <c r="AC199" s="248">
        <f t="shared" si="38"/>
        <v>0</v>
      </c>
      <c r="AD199" s="153">
        <f t="shared" si="39"/>
        <v>0</v>
      </c>
      <c r="AE199" s="248">
        <f t="shared" si="40"/>
        <v>0</v>
      </c>
      <c r="AF199" s="153">
        <f t="shared" si="46"/>
        <v>0</v>
      </c>
      <c r="AG199" s="248">
        <f t="shared" si="41"/>
        <v>0</v>
      </c>
      <c r="AH199" s="153">
        <f t="shared" si="47"/>
        <v>0</v>
      </c>
      <c r="AI199" s="153"/>
      <c r="AJ199" s="153">
        <f t="shared" si="48"/>
        <v>0</v>
      </c>
      <c r="AK199" s="153">
        <f t="shared" si="49"/>
        <v>0</v>
      </c>
      <c r="AL199" s="153"/>
      <c r="AM199" s="153"/>
      <c r="AN199" s="153"/>
      <c r="AQ199" s="153"/>
      <c r="AW199" s="129">
        <f t="shared" si="50"/>
        <v>0</v>
      </c>
    </row>
    <row r="200" spans="1:49" ht="9.75" thickBot="1" x14ac:dyDescent="0.2">
      <c r="A200" s="159"/>
      <c r="B200" s="160"/>
      <c r="C200" s="160"/>
      <c r="D200" s="154" t="str">
        <f t="shared" si="53"/>
        <v xml:space="preserve"> </v>
      </c>
      <c r="E200" s="162"/>
      <c r="F200" s="262">
        <v>0</v>
      </c>
      <c r="G200" s="162">
        <v>37</v>
      </c>
      <c r="H200" s="162">
        <v>37</v>
      </c>
      <c r="I200" s="162"/>
      <c r="J200" s="164"/>
      <c r="K200" s="162"/>
      <c r="L200" s="164"/>
      <c r="M200" s="164"/>
      <c r="N200" s="162"/>
      <c r="O200" s="162"/>
      <c r="P200" s="162"/>
      <c r="Q200" s="155">
        <f>AS200</f>
        <v>0</v>
      </c>
      <c r="R200" s="155">
        <f>AT200</f>
        <v>0</v>
      </c>
      <c r="S200" s="156">
        <f>AU200</f>
        <v>0</v>
      </c>
      <c r="U200" s="129">
        <f>IF(OR(C199=5,C200=5),0,1)</f>
        <v>1</v>
      </c>
      <c r="V200" s="129">
        <f t="shared" si="42"/>
        <v>0</v>
      </c>
      <c r="W200" s="129">
        <f t="shared" si="43"/>
        <v>0</v>
      </c>
      <c r="X200" s="129">
        <f t="shared" si="52"/>
        <v>0</v>
      </c>
      <c r="Y200" s="129">
        <f t="shared" si="44"/>
        <v>65.337800000000001</v>
      </c>
      <c r="Z200" s="153">
        <f t="shared" si="36"/>
        <v>0</v>
      </c>
      <c r="AA200" s="248">
        <f t="shared" si="37"/>
        <v>0</v>
      </c>
      <c r="AB200" s="153">
        <f t="shared" si="45"/>
        <v>0</v>
      </c>
      <c r="AC200" s="248">
        <f t="shared" si="38"/>
        <v>0</v>
      </c>
      <c r="AD200" s="153">
        <f t="shared" si="39"/>
        <v>0</v>
      </c>
      <c r="AE200" s="248">
        <f t="shared" si="40"/>
        <v>0</v>
      </c>
      <c r="AF200" s="153">
        <f t="shared" si="46"/>
        <v>0</v>
      </c>
      <c r="AG200" s="248">
        <f t="shared" si="41"/>
        <v>0</v>
      </c>
      <c r="AH200" s="153">
        <f t="shared" si="47"/>
        <v>0</v>
      </c>
      <c r="AI200" s="153"/>
      <c r="AJ200" s="153">
        <f t="shared" si="48"/>
        <v>0</v>
      </c>
      <c r="AK200" s="153">
        <f t="shared" si="49"/>
        <v>0</v>
      </c>
      <c r="AL200" s="153"/>
      <c r="AM200" s="153">
        <f>AK199*W199+AK200*W200</f>
        <v>0</v>
      </c>
      <c r="AN200" s="153">
        <f>(SUM(AD199:AG199)*W199+SUM(AD200:AG200)*W200)*12*VLOOKUP(C200,JNovergang,3,1)</f>
        <v>0</v>
      </c>
      <c r="AO200" s="153">
        <f>AM200-AN200</f>
        <v>0</v>
      </c>
      <c r="AP200" s="153">
        <f>M200*(100+X200)%</f>
        <v>0</v>
      </c>
      <c r="AQ200" s="248">
        <f>ROUND(M200*F200,2)</f>
        <v>0</v>
      </c>
      <c r="AS200" s="248">
        <f>ROUND((AP200+AQ200)+AM200*(N200/12),0)</f>
        <v>0</v>
      </c>
      <c r="AT200" s="248">
        <f>ROUND(AM200*(O200/12),0)</f>
        <v>0</v>
      </c>
      <c r="AU200" s="248">
        <f>ROUND(AM200*(P200/12)*U200,0)</f>
        <v>0</v>
      </c>
      <c r="AW200" s="129">
        <f t="shared" si="50"/>
        <v>0</v>
      </c>
    </row>
    <row r="201" spans="1:49" x14ac:dyDescent="0.15">
      <c r="A201" s="157"/>
      <c r="B201" s="158"/>
      <c r="C201" s="158"/>
      <c r="D201" s="149" t="str">
        <f t="shared" si="53"/>
        <v xml:space="preserve"> </v>
      </c>
      <c r="E201" s="161"/>
      <c r="F201" s="261">
        <v>0</v>
      </c>
      <c r="G201" s="161">
        <v>37</v>
      </c>
      <c r="H201" s="161">
        <v>37</v>
      </c>
      <c r="I201" s="161"/>
      <c r="J201" s="163"/>
      <c r="K201" s="161"/>
      <c r="L201" s="163"/>
      <c r="M201" s="150"/>
      <c r="N201" s="150"/>
      <c r="O201" s="150"/>
      <c r="P201" s="150"/>
      <c r="Q201" s="151"/>
      <c r="R201" s="151"/>
      <c r="S201" s="152"/>
      <c r="V201" s="129">
        <f t="shared" si="42"/>
        <v>0</v>
      </c>
      <c r="W201" s="129">
        <f t="shared" si="43"/>
        <v>0</v>
      </c>
      <c r="X201" s="129">
        <f t="shared" si="52"/>
        <v>0</v>
      </c>
      <c r="Y201" s="129">
        <f t="shared" si="44"/>
        <v>65.337800000000001</v>
      </c>
      <c r="Z201" s="153">
        <f t="shared" si="36"/>
        <v>0</v>
      </c>
      <c r="AA201" s="248">
        <f t="shared" si="37"/>
        <v>0</v>
      </c>
      <c r="AB201" s="153">
        <f t="shared" si="45"/>
        <v>0</v>
      </c>
      <c r="AC201" s="248">
        <f t="shared" si="38"/>
        <v>0</v>
      </c>
      <c r="AD201" s="153">
        <f t="shared" si="39"/>
        <v>0</v>
      </c>
      <c r="AE201" s="248">
        <f t="shared" si="40"/>
        <v>0</v>
      </c>
      <c r="AF201" s="153">
        <f t="shared" si="46"/>
        <v>0</v>
      </c>
      <c r="AG201" s="248">
        <f t="shared" si="41"/>
        <v>0</v>
      </c>
      <c r="AH201" s="153">
        <f t="shared" si="47"/>
        <v>0</v>
      </c>
      <c r="AI201" s="153"/>
      <c r="AJ201" s="153">
        <f t="shared" si="48"/>
        <v>0</v>
      </c>
      <c r="AK201" s="153">
        <f t="shared" si="49"/>
        <v>0</v>
      </c>
      <c r="AL201" s="153"/>
      <c r="AM201" s="153"/>
      <c r="AN201" s="153"/>
      <c r="AQ201" s="153"/>
      <c r="AW201" s="129">
        <f t="shared" si="50"/>
        <v>0</v>
      </c>
    </row>
    <row r="202" spans="1:49" ht="9.75" thickBot="1" x14ac:dyDescent="0.2">
      <c r="A202" s="159"/>
      <c r="B202" s="160"/>
      <c r="C202" s="160"/>
      <c r="D202" s="154" t="str">
        <f t="shared" si="53"/>
        <v xml:space="preserve"> </v>
      </c>
      <c r="E202" s="162"/>
      <c r="F202" s="262">
        <v>0</v>
      </c>
      <c r="G202" s="162">
        <v>37</v>
      </c>
      <c r="H202" s="162">
        <v>37</v>
      </c>
      <c r="I202" s="162"/>
      <c r="J202" s="164"/>
      <c r="K202" s="162"/>
      <c r="L202" s="164"/>
      <c r="M202" s="164"/>
      <c r="N202" s="162"/>
      <c r="O202" s="162"/>
      <c r="P202" s="162"/>
      <c r="Q202" s="155">
        <f>AS202</f>
        <v>0</v>
      </c>
      <c r="R202" s="155">
        <f>AT202</f>
        <v>0</v>
      </c>
      <c r="S202" s="156">
        <f>AU202</f>
        <v>0</v>
      </c>
      <c r="U202" s="129">
        <f>IF(OR(C201=5,C202=5),0,1)</f>
        <v>1</v>
      </c>
      <c r="V202" s="129">
        <f t="shared" si="42"/>
        <v>0</v>
      </c>
      <c r="W202" s="129">
        <f t="shared" si="43"/>
        <v>0</v>
      </c>
      <c r="X202" s="129">
        <f t="shared" si="52"/>
        <v>0</v>
      </c>
      <c r="Y202" s="129">
        <f t="shared" si="44"/>
        <v>65.337800000000001</v>
      </c>
      <c r="Z202" s="153">
        <f t="shared" si="36"/>
        <v>0</v>
      </c>
      <c r="AA202" s="248">
        <f t="shared" si="37"/>
        <v>0</v>
      </c>
      <c r="AB202" s="153">
        <f t="shared" si="45"/>
        <v>0</v>
      </c>
      <c r="AC202" s="248">
        <f t="shared" si="38"/>
        <v>0</v>
      </c>
      <c r="AD202" s="153">
        <f t="shared" si="39"/>
        <v>0</v>
      </c>
      <c r="AE202" s="248">
        <f t="shared" si="40"/>
        <v>0</v>
      </c>
      <c r="AF202" s="153">
        <f t="shared" si="46"/>
        <v>0</v>
      </c>
      <c r="AG202" s="248">
        <f t="shared" si="41"/>
        <v>0</v>
      </c>
      <c r="AH202" s="153">
        <f t="shared" si="47"/>
        <v>0</v>
      </c>
      <c r="AI202" s="153"/>
      <c r="AJ202" s="153">
        <f t="shared" si="48"/>
        <v>0</v>
      </c>
      <c r="AK202" s="153">
        <f t="shared" si="49"/>
        <v>0</v>
      </c>
      <c r="AL202" s="153"/>
      <c r="AM202" s="153">
        <f>AK201*W201+AK202*W202</f>
        <v>0</v>
      </c>
      <c r="AN202" s="153">
        <f>(SUM(AD201:AG201)*W201+SUM(AD202:AG202)*W202)*12*VLOOKUP(C202,JNovergang,3,1)</f>
        <v>0</v>
      </c>
      <c r="AO202" s="153">
        <f>AM202-AN202</f>
        <v>0</v>
      </c>
      <c r="AP202" s="153">
        <f>M202*(100+X202)%</f>
        <v>0</v>
      </c>
      <c r="AQ202" s="248">
        <f>ROUND(M202*F202,2)</f>
        <v>0</v>
      </c>
      <c r="AS202" s="248">
        <f>ROUND((AP202+AQ202)+AM202*(N202/12),0)</f>
        <v>0</v>
      </c>
      <c r="AT202" s="248">
        <f>ROUND(AM202*(O202/12),0)</f>
        <v>0</v>
      </c>
      <c r="AU202" s="248">
        <f>ROUND(AM202*(P202/12)*U202,0)</f>
        <v>0</v>
      </c>
      <c r="AW202" s="129">
        <f t="shared" si="50"/>
        <v>0</v>
      </c>
    </row>
    <row r="203" spans="1:49" x14ac:dyDescent="0.15">
      <c r="A203" s="157"/>
      <c r="B203" s="158"/>
      <c r="C203" s="158"/>
      <c r="D203" s="149" t="str">
        <f t="shared" si="53"/>
        <v xml:space="preserve"> </v>
      </c>
      <c r="E203" s="161"/>
      <c r="F203" s="261">
        <v>0</v>
      </c>
      <c r="G203" s="161">
        <v>37</v>
      </c>
      <c r="H203" s="161">
        <v>37</v>
      </c>
      <c r="I203" s="161"/>
      <c r="J203" s="163"/>
      <c r="K203" s="161"/>
      <c r="L203" s="163"/>
      <c r="M203" s="150"/>
      <c r="N203" s="150"/>
      <c r="O203" s="150"/>
      <c r="P203" s="150"/>
      <c r="Q203" s="151"/>
      <c r="R203" s="151"/>
      <c r="S203" s="152"/>
      <c r="V203" s="129">
        <f t="shared" si="42"/>
        <v>0</v>
      </c>
      <c r="W203" s="129">
        <f t="shared" si="43"/>
        <v>0</v>
      </c>
      <c r="X203" s="129">
        <f t="shared" si="52"/>
        <v>0</v>
      </c>
      <c r="Y203" s="129">
        <f t="shared" si="44"/>
        <v>65.337800000000001</v>
      </c>
      <c r="Z203" s="153">
        <f t="shared" si="36"/>
        <v>0</v>
      </c>
      <c r="AA203" s="248">
        <f t="shared" si="37"/>
        <v>0</v>
      </c>
      <c r="AB203" s="153">
        <f t="shared" si="45"/>
        <v>0</v>
      </c>
      <c r="AC203" s="248">
        <f t="shared" si="38"/>
        <v>0</v>
      </c>
      <c r="AD203" s="153">
        <f t="shared" si="39"/>
        <v>0</v>
      </c>
      <c r="AE203" s="248">
        <f t="shared" si="40"/>
        <v>0</v>
      </c>
      <c r="AF203" s="153">
        <f t="shared" si="46"/>
        <v>0</v>
      </c>
      <c r="AG203" s="248">
        <f t="shared" si="41"/>
        <v>0</v>
      </c>
      <c r="AH203" s="153">
        <f t="shared" si="47"/>
        <v>0</v>
      </c>
      <c r="AI203" s="153"/>
      <c r="AJ203" s="153">
        <f t="shared" si="48"/>
        <v>0</v>
      </c>
      <c r="AK203" s="153">
        <f t="shared" si="49"/>
        <v>0</v>
      </c>
      <c r="AL203" s="153"/>
      <c r="AM203" s="153"/>
      <c r="AN203" s="153"/>
      <c r="AQ203" s="153"/>
      <c r="AW203" s="129">
        <f t="shared" si="50"/>
        <v>0</v>
      </c>
    </row>
    <row r="204" spans="1:49" ht="9.75" thickBot="1" x14ac:dyDescent="0.2">
      <c r="A204" s="159"/>
      <c r="B204" s="160"/>
      <c r="C204" s="160"/>
      <c r="D204" s="154" t="str">
        <f t="shared" si="53"/>
        <v xml:space="preserve"> </v>
      </c>
      <c r="E204" s="162"/>
      <c r="F204" s="262">
        <v>0</v>
      </c>
      <c r="G204" s="162">
        <v>37</v>
      </c>
      <c r="H204" s="162">
        <v>37</v>
      </c>
      <c r="I204" s="162"/>
      <c r="J204" s="164"/>
      <c r="K204" s="162"/>
      <c r="L204" s="164"/>
      <c r="M204" s="164"/>
      <c r="N204" s="162"/>
      <c r="O204" s="162"/>
      <c r="P204" s="162"/>
      <c r="Q204" s="155">
        <f>AS204</f>
        <v>0</v>
      </c>
      <c r="R204" s="155">
        <f>AT204</f>
        <v>0</v>
      </c>
      <c r="S204" s="156">
        <f>AU204</f>
        <v>0</v>
      </c>
      <c r="U204" s="129">
        <f>IF(OR(C203=5,C204=5),0,1)</f>
        <v>1</v>
      </c>
      <c r="V204" s="129">
        <f t="shared" si="42"/>
        <v>0</v>
      </c>
      <c r="W204" s="129">
        <f t="shared" si="43"/>
        <v>0</v>
      </c>
      <c r="X204" s="129">
        <f t="shared" si="52"/>
        <v>0</v>
      </c>
      <c r="Y204" s="129">
        <f t="shared" si="44"/>
        <v>65.337800000000001</v>
      </c>
      <c r="Z204" s="153">
        <f t="shared" si="36"/>
        <v>0</v>
      </c>
      <c r="AA204" s="248">
        <f t="shared" si="37"/>
        <v>0</v>
      </c>
      <c r="AB204" s="153">
        <f t="shared" si="45"/>
        <v>0</v>
      </c>
      <c r="AC204" s="248">
        <f t="shared" si="38"/>
        <v>0</v>
      </c>
      <c r="AD204" s="153">
        <f t="shared" si="39"/>
        <v>0</v>
      </c>
      <c r="AE204" s="248">
        <f t="shared" si="40"/>
        <v>0</v>
      </c>
      <c r="AF204" s="153">
        <f t="shared" si="46"/>
        <v>0</v>
      </c>
      <c r="AG204" s="248">
        <f t="shared" si="41"/>
        <v>0</v>
      </c>
      <c r="AH204" s="153">
        <f t="shared" si="47"/>
        <v>0</v>
      </c>
      <c r="AI204" s="153"/>
      <c r="AJ204" s="153">
        <f t="shared" si="48"/>
        <v>0</v>
      </c>
      <c r="AK204" s="153">
        <f t="shared" si="49"/>
        <v>0</v>
      </c>
      <c r="AL204" s="153"/>
      <c r="AM204" s="153">
        <f>AK203*W203+AK204*W204</f>
        <v>0</v>
      </c>
      <c r="AN204" s="153">
        <f>(SUM(AD203:AG203)*W203+SUM(AD204:AG204)*W204)*12*VLOOKUP(C204,JNovergang,3,1)</f>
        <v>0</v>
      </c>
      <c r="AO204" s="153">
        <f>AM204-AN204</f>
        <v>0</v>
      </c>
      <c r="AP204" s="153">
        <f>M204*(100+X204)%</f>
        <v>0</v>
      </c>
      <c r="AQ204" s="248">
        <f>ROUND(M204*F204,2)</f>
        <v>0</v>
      </c>
      <c r="AS204" s="248">
        <f>ROUND((AP204+AQ204)+AM204*(N204/12),0)</f>
        <v>0</v>
      </c>
      <c r="AT204" s="248">
        <f>ROUND(AM204*(O204/12),0)</f>
        <v>0</v>
      </c>
      <c r="AU204" s="248">
        <f>ROUND(AM204*(P204/12)*U204,0)</f>
        <v>0</v>
      </c>
      <c r="AW204" s="129">
        <f t="shared" si="50"/>
        <v>0</v>
      </c>
    </row>
    <row r="205" spans="1:49" x14ac:dyDescent="0.15">
      <c r="A205" s="157"/>
      <c r="B205" s="158"/>
      <c r="C205" s="158"/>
      <c r="D205" s="149" t="str">
        <f t="shared" si="53"/>
        <v xml:space="preserve"> </v>
      </c>
      <c r="E205" s="161"/>
      <c r="F205" s="261">
        <v>0</v>
      </c>
      <c r="G205" s="161">
        <v>37</v>
      </c>
      <c r="H205" s="161">
        <v>37</v>
      </c>
      <c r="I205" s="161"/>
      <c r="J205" s="163"/>
      <c r="K205" s="161"/>
      <c r="L205" s="163"/>
      <c r="M205" s="150"/>
      <c r="N205" s="150"/>
      <c r="O205" s="150"/>
      <c r="P205" s="150"/>
      <c r="Q205" s="151"/>
      <c r="R205" s="151"/>
      <c r="S205" s="152"/>
      <c r="V205" s="129">
        <f t="shared" si="42"/>
        <v>0</v>
      </c>
      <c r="W205" s="129">
        <f t="shared" si="43"/>
        <v>0</v>
      </c>
      <c r="X205" s="129">
        <f t="shared" si="52"/>
        <v>0</v>
      </c>
      <c r="Y205" s="129">
        <f t="shared" si="44"/>
        <v>65.337800000000001</v>
      </c>
      <c r="Z205" s="153">
        <f t="shared" si="36"/>
        <v>0</v>
      </c>
      <c r="AA205" s="248">
        <f t="shared" si="37"/>
        <v>0</v>
      </c>
      <c r="AB205" s="153">
        <f t="shared" si="45"/>
        <v>0</v>
      </c>
      <c r="AC205" s="248">
        <f t="shared" si="38"/>
        <v>0</v>
      </c>
      <c r="AD205" s="153">
        <f t="shared" si="39"/>
        <v>0</v>
      </c>
      <c r="AE205" s="248">
        <f t="shared" si="40"/>
        <v>0</v>
      </c>
      <c r="AF205" s="153">
        <f t="shared" si="46"/>
        <v>0</v>
      </c>
      <c r="AG205" s="248">
        <f t="shared" si="41"/>
        <v>0</v>
      </c>
      <c r="AH205" s="153">
        <f t="shared" si="47"/>
        <v>0</v>
      </c>
      <c r="AI205" s="153"/>
      <c r="AJ205" s="153">
        <f t="shared" si="48"/>
        <v>0</v>
      </c>
      <c r="AK205" s="153">
        <f t="shared" si="49"/>
        <v>0</v>
      </c>
      <c r="AL205" s="153"/>
      <c r="AM205" s="153"/>
      <c r="AN205" s="153"/>
      <c r="AQ205" s="153"/>
      <c r="AW205" s="129">
        <f t="shared" si="50"/>
        <v>0</v>
      </c>
    </row>
    <row r="206" spans="1:49" ht="9.75" thickBot="1" x14ac:dyDescent="0.2">
      <c r="A206" s="159"/>
      <c r="B206" s="160"/>
      <c r="C206" s="160"/>
      <c r="D206" s="154" t="str">
        <f t="shared" si="53"/>
        <v xml:space="preserve"> </v>
      </c>
      <c r="E206" s="162"/>
      <c r="F206" s="262">
        <v>0</v>
      </c>
      <c r="G206" s="162">
        <v>37</v>
      </c>
      <c r="H206" s="162">
        <v>37</v>
      </c>
      <c r="I206" s="162"/>
      <c r="J206" s="164"/>
      <c r="K206" s="162"/>
      <c r="L206" s="164"/>
      <c r="M206" s="164"/>
      <c r="N206" s="162"/>
      <c r="O206" s="162"/>
      <c r="P206" s="162"/>
      <c r="Q206" s="155">
        <f>AS206</f>
        <v>0</v>
      </c>
      <c r="R206" s="155">
        <f>AT206</f>
        <v>0</v>
      </c>
      <c r="S206" s="156">
        <f>AU206</f>
        <v>0</v>
      </c>
      <c r="U206" s="129">
        <f>IF(OR(C205=5,C206=5),0,1)</f>
        <v>1</v>
      </c>
      <c r="V206" s="129">
        <f t="shared" si="42"/>
        <v>0</v>
      </c>
      <c r="W206" s="129">
        <f t="shared" si="43"/>
        <v>0</v>
      </c>
      <c r="X206" s="129">
        <f t="shared" si="52"/>
        <v>0</v>
      </c>
      <c r="Y206" s="129">
        <f t="shared" si="44"/>
        <v>65.337800000000001</v>
      </c>
      <c r="Z206" s="153">
        <f t="shared" si="36"/>
        <v>0</v>
      </c>
      <c r="AA206" s="248">
        <f t="shared" si="37"/>
        <v>0</v>
      </c>
      <c r="AB206" s="153">
        <f t="shared" si="45"/>
        <v>0</v>
      </c>
      <c r="AC206" s="248">
        <f t="shared" si="38"/>
        <v>0</v>
      </c>
      <c r="AD206" s="153">
        <f t="shared" si="39"/>
        <v>0</v>
      </c>
      <c r="AE206" s="248">
        <f t="shared" si="40"/>
        <v>0</v>
      </c>
      <c r="AF206" s="153">
        <f t="shared" si="46"/>
        <v>0</v>
      </c>
      <c r="AG206" s="248">
        <f t="shared" si="41"/>
        <v>0</v>
      </c>
      <c r="AH206" s="153">
        <f t="shared" si="47"/>
        <v>0</v>
      </c>
      <c r="AI206" s="153"/>
      <c r="AJ206" s="153">
        <f t="shared" si="48"/>
        <v>0</v>
      </c>
      <c r="AK206" s="153">
        <f t="shared" si="49"/>
        <v>0</v>
      </c>
      <c r="AL206" s="153"/>
      <c r="AM206" s="153">
        <f>AK205*W205+AK206*W206</f>
        <v>0</v>
      </c>
      <c r="AN206" s="153">
        <f>(SUM(AD205:AG205)*W205+SUM(AD206:AG206)*W206)*12*VLOOKUP(C206,JNovergang,3,1)</f>
        <v>0</v>
      </c>
      <c r="AO206" s="153">
        <f>AM206-AN206</f>
        <v>0</v>
      </c>
      <c r="AP206" s="153">
        <f>M206*(100+X206)%</f>
        <v>0</v>
      </c>
      <c r="AQ206" s="248">
        <f>ROUND(M206*F206,2)</f>
        <v>0</v>
      </c>
      <c r="AS206" s="248">
        <f>ROUND((AP206+AQ206)+AM206*(N206/12),0)</f>
        <v>0</v>
      </c>
      <c r="AT206" s="248">
        <f>ROUND(AM206*(O206/12),0)</f>
        <v>0</v>
      </c>
      <c r="AU206" s="248">
        <f>ROUND(AM206*(P206/12)*U206,0)</f>
        <v>0</v>
      </c>
      <c r="AW206" s="129">
        <f t="shared" si="50"/>
        <v>0</v>
      </c>
    </row>
    <row r="207" spans="1:49" x14ac:dyDescent="0.15">
      <c r="A207" s="157"/>
      <c r="B207" s="158"/>
      <c r="C207" s="158"/>
      <c r="D207" s="149" t="str">
        <f t="shared" si="53"/>
        <v xml:space="preserve"> </v>
      </c>
      <c r="E207" s="161"/>
      <c r="F207" s="261">
        <v>0</v>
      </c>
      <c r="G207" s="161">
        <v>37</v>
      </c>
      <c r="H207" s="161">
        <v>37</v>
      </c>
      <c r="I207" s="161"/>
      <c r="J207" s="163"/>
      <c r="K207" s="161"/>
      <c r="L207" s="163"/>
      <c r="M207" s="150"/>
      <c r="N207" s="150"/>
      <c r="O207" s="150"/>
      <c r="P207" s="150"/>
      <c r="Q207" s="151"/>
      <c r="R207" s="151"/>
      <c r="S207" s="152"/>
      <c r="V207" s="129">
        <f t="shared" si="42"/>
        <v>0</v>
      </c>
      <c r="W207" s="129">
        <f t="shared" si="43"/>
        <v>0</v>
      </c>
      <c r="X207" s="129">
        <f t="shared" si="52"/>
        <v>0</v>
      </c>
      <c r="Y207" s="129">
        <f t="shared" si="44"/>
        <v>65.337800000000001</v>
      </c>
      <c r="Z207" s="153">
        <f t="shared" si="36"/>
        <v>0</v>
      </c>
      <c r="AA207" s="248">
        <f t="shared" si="37"/>
        <v>0</v>
      </c>
      <c r="AB207" s="153">
        <f t="shared" si="45"/>
        <v>0</v>
      </c>
      <c r="AC207" s="248">
        <f t="shared" si="38"/>
        <v>0</v>
      </c>
      <c r="AD207" s="153">
        <f t="shared" si="39"/>
        <v>0</v>
      </c>
      <c r="AE207" s="248">
        <f t="shared" si="40"/>
        <v>0</v>
      </c>
      <c r="AF207" s="153">
        <f t="shared" si="46"/>
        <v>0</v>
      </c>
      <c r="AG207" s="248">
        <f t="shared" si="41"/>
        <v>0</v>
      </c>
      <c r="AH207" s="153">
        <f t="shared" si="47"/>
        <v>0</v>
      </c>
      <c r="AI207" s="153"/>
      <c r="AJ207" s="153">
        <f t="shared" si="48"/>
        <v>0</v>
      </c>
      <c r="AK207" s="153">
        <f t="shared" si="49"/>
        <v>0</v>
      </c>
      <c r="AL207" s="153"/>
      <c r="AM207" s="153"/>
      <c r="AN207" s="153"/>
      <c r="AQ207" s="153"/>
      <c r="AW207" s="129">
        <f t="shared" si="50"/>
        <v>0</v>
      </c>
    </row>
    <row r="208" spans="1:49" ht="9.75" thickBot="1" x14ac:dyDescent="0.2">
      <c r="A208" s="159"/>
      <c r="B208" s="160"/>
      <c r="C208" s="160"/>
      <c r="D208" s="154" t="str">
        <f t="shared" si="53"/>
        <v xml:space="preserve"> </v>
      </c>
      <c r="E208" s="162"/>
      <c r="F208" s="262">
        <v>0</v>
      </c>
      <c r="G208" s="162">
        <v>37</v>
      </c>
      <c r="H208" s="162">
        <v>37</v>
      </c>
      <c r="I208" s="162"/>
      <c r="J208" s="164"/>
      <c r="K208" s="162"/>
      <c r="L208" s="164"/>
      <c r="M208" s="164"/>
      <c r="N208" s="162"/>
      <c r="O208" s="162"/>
      <c r="P208" s="162"/>
      <c r="Q208" s="155">
        <f>AS208</f>
        <v>0</v>
      </c>
      <c r="R208" s="155">
        <f>AT208</f>
        <v>0</v>
      </c>
      <c r="S208" s="156">
        <f>AU208</f>
        <v>0</v>
      </c>
      <c r="U208" s="129">
        <f>IF(OR(C207=5,C208=5),0,1)</f>
        <v>1</v>
      </c>
      <c r="V208" s="129">
        <f t="shared" si="42"/>
        <v>0</v>
      </c>
      <c r="W208" s="129">
        <f t="shared" si="43"/>
        <v>0</v>
      </c>
      <c r="X208" s="129">
        <f t="shared" si="52"/>
        <v>0</v>
      </c>
      <c r="Y208" s="129">
        <f t="shared" si="44"/>
        <v>65.337800000000001</v>
      </c>
      <c r="Z208" s="153">
        <f t="shared" si="36"/>
        <v>0</v>
      </c>
      <c r="AA208" s="248">
        <f t="shared" si="37"/>
        <v>0</v>
      </c>
      <c r="AB208" s="153">
        <f t="shared" si="45"/>
        <v>0</v>
      </c>
      <c r="AC208" s="248">
        <f t="shared" si="38"/>
        <v>0</v>
      </c>
      <c r="AD208" s="153">
        <f t="shared" si="39"/>
        <v>0</v>
      </c>
      <c r="AE208" s="248">
        <f t="shared" si="40"/>
        <v>0</v>
      </c>
      <c r="AF208" s="153">
        <f t="shared" si="46"/>
        <v>0</v>
      </c>
      <c r="AG208" s="248">
        <f t="shared" si="41"/>
        <v>0</v>
      </c>
      <c r="AH208" s="153">
        <f t="shared" si="47"/>
        <v>0</v>
      </c>
      <c r="AI208" s="153"/>
      <c r="AJ208" s="153">
        <f t="shared" si="48"/>
        <v>0</v>
      </c>
      <c r="AK208" s="153">
        <f t="shared" si="49"/>
        <v>0</v>
      </c>
      <c r="AL208" s="153"/>
      <c r="AM208" s="153">
        <f>AK207*W207+AK208*W208</f>
        <v>0</v>
      </c>
      <c r="AN208" s="153">
        <f>(SUM(AD207:AG207)*W207+SUM(AD208:AG208)*W208)*12*VLOOKUP(C208,JNovergang,3,1)</f>
        <v>0</v>
      </c>
      <c r="AO208" s="153">
        <f>AM208-AN208</f>
        <v>0</v>
      </c>
      <c r="AP208" s="153">
        <f>M208*(100+X208)%</f>
        <v>0</v>
      </c>
      <c r="AQ208" s="248">
        <f>ROUND(M208*F208,2)</f>
        <v>0</v>
      </c>
      <c r="AS208" s="248">
        <f>ROUND((AP208+AQ208)+AM208*(N208/12),0)</f>
        <v>0</v>
      </c>
      <c r="AT208" s="248">
        <f>ROUND(AM208*(O208/12),0)</f>
        <v>0</v>
      </c>
      <c r="AU208" s="248">
        <f>ROUND(AM208*(P208/12)*U208,0)</f>
        <v>0</v>
      </c>
      <c r="AW208" s="129">
        <f t="shared" si="50"/>
        <v>0</v>
      </c>
    </row>
    <row r="209" spans="1:49" x14ac:dyDescent="0.15">
      <c r="A209" s="157"/>
      <c r="B209" s="158"/>
      <c r="C209" s="158"/>
      <c r="D209" s="149" t="str">
        <f t="shared" si="53"/>
        <v xml:space="preserve"> </v>
      </c>
      <c r="E209" s="161"/>
      <c r="F209" s="261">
        <v>0</v>
      </c>
      <c r="G209" s="161">
        <v>37</v>
      </c>
      <c r="H209" s="161">
        <v>37</v>
      </c>
      <c r="I209" s="161"/>
      <c r="J209" s="163"/>
      <c r="K209" s="161"/>
      <c r="L209" s="163"/>
      <c r="M209" s="150"/>
      <c r="N209" s="150"/>
      <c r="O209" s="150"/>
      <c r="P209" s="150"/>
      <c r="Q209" s="151"/>
      <c r="R209" s="151"/>
      <c r="S209" s="152"/>
      <c r="V209" s="129">
        <f t="shared" si="42"/>
        <v>0</v>
      </c>
      <c r="W209" s="129">
        <f t="shared" si="43"/>
        <v>0</v>
      </c>
      <c r="X209" s="129">
        <f t="shared" si="52"/>
        <v>0</v>
      </c>
      <c r="Y209" s="129">
        <f t="shared" si="44"/>
        <v>65.337800000000001</v>
      </c>
      <c r="Z209" s="153">
        <f t="shared" si="36"/>
        <v>0</v>
      </c>
      <c r="AA209" s="248">
        <f t="shared" si="37"/>
        <v>0</v>
      </c>
      <c r="AB209" s="153">
        <f t="shared" si="45"/>
        <v>0</v>
      </c>
      <c r="AC209" s="248">
        <f t="shared" si="38"/>
        <v>0</v>
      </c>
      <c r="AD209" s="153">
        <f t="shared" si="39"/>
        <v>0</v>
      </c>
      <c r="AE209" s="248">
        <f t="shared" si="40"/>
        <v>0</v>
      </c>
      <c r="AF209" s="153">
        <f t="shared" si="46"/>
        <v>0</v>
      </c>
      <c r="AG209" s="248">
        <f t="shared" si="41"/>
        <v>0</v>
      </c>
      <c r="AH209" s="153">
        <f t="shared" si="47"/>
        <v>0</v>
      </c>
      <c r="AI209" s="153"/>
      <c r="AJ209" s="153">
        <f t="shared" si="48"/>
        <v>0</v>
      </c>
      <c r="AK209" s="153">
        <f t="shared" si="49"/>
        <v>0</v>
      </c>
      <c r="AL209" s="153"/>
      <c r="AM209" s="153"/>
      <c r="AN209" s="153"/>
      <c r="AQ209" s="153"/>
      <c r="AW209" s="129">
        <f t="shared" si="50"/>
        <v>0</v>
      </c>
    </row>
    <row r="210" spans="1:49" ht="9.75" thickBot="1" x14ac:dyDescent="0.2">
      <c r="A210" s="159"/>
      <c r="B210" s="160"/>
      <c r="C210" s="160"/>
      <c r="D210" s="154" t="str">
        <f t="shared" si="53"/>
        <v xml:space="preserve"> </v>
      </c>
      <c r="E210" s="162"/>
      <c r="F210" s="262">
        <v>0</v>
      </c>
      <c r="G210" s="162">
        <v>37</v>
      </c>
      <c r="H210" s="162">
        <v>37</v>
      </c>
      <c r="I210" s="162"/>
      <c r="J210" s="164"/>
      <c r="K210" s="162"/>
      <c r="L210" s="164"/>
      <c r="M210" s="164"/>
      <c r="N210" s="162"/>
      <c r="O210" s="162"/>
      <c r="P210" s="162"/>
      <c r="Q210" s="155">
        <f>AS210</f>
        <v>0</v>
      </c>
      <c r="R210" s="155">
        <f>AT210</f>
        <v>0</v>
      </c>
      <c r="S210" s="156">
        <f>AU210</f>
        <v>0</v>
      </c>
      <c r="U210" s="129">
        <f>IF(OR(C209=5,C210=5),0,1)</f>
        <v>1</v>
      </c>
      <c r="V210" s="129">
        <f t="shared" si="42"/>
        <v>0</v>
      </c>
      <c r="W210" s="129">
        <f t="shared" si="43"/>
        <v>0</v>
      </c>
      <c r="X210" s="129">
        <f t="shared" si="52"/>
        <v>0</v>
      </c>
      <c r="Y210" s="129">
        <f t="shared" si="44"/>
        <v>65.337800000000001</v>
      </c>
      <c r="Z210" s="153">
        <f t="shared" si="36"/>
        <v>0</v>
      </c>
      <c r="AA210" s="248">
        <f t="shared" si="37"/>
        <v>0</v>
      </c>
      <c r="AB210" s="153">
        <f t="shared" si="45"/>
        <v>0</v>
      </c>
      <c r="AC210" s="248">
        <f t="shared" si="38"/>
        <v>0</v>
      </c>
      <c r="AD210" s="153">
        <f t="shared" si="39"/>
        <v>0</v>
      </c>
      <c r="AE210" s="248">
        <f t="shared" si="40"/>
        <v>0</v>
      </c>
      <c r="AF210" s="153">
        <f t="shared" si="46"/>
        <v>0</v>
      </c>
      <c r="AG210" s="248">
        <f t="shared" si="41"/>
        <v>0</v>
      </c>
      <c r="AH210" s="153">
        <f t="shared" si="47"/>
        <v>0</v>
      </c>
      <c r="AI210" s="153"/>
      <c r="AJ210" s="153">
        <f t="shared" si="48"/>
        <v>0</v>
      </c>
      <c r="AK210" s="153">
        <f t="shared" si="49"/>
        <v>0</v>
      </c>
      <c r="AL210" s="153"/>
      <c r="AM210" s="153">
        <f>AK209*W209+AK210*W210</f>
        <v>0</v>
      </c>
      <c r="AN210" s="153">
        <f>(SUM(AD209:AG209)*W209+SUM(AD210:AG210)*W210)*12*VLOOKUP(C210,JNovergang,3,1)</f>
        <v>0</v>
      </c>
      <c r="AO210" s="153">
        <f>AM210-AN210</f>
        <v>0</v>
      </c>
      <c r="AP210" s="153">
        <f>M210*(100+X210)%</f>
        <v>0</v>
      </c>
      <c r="AQ210" s="248">
        <f>ROUND(M210*F210,2)</f>
        <v>0</v>
      </c>
      <c r="AS210" s="248">
        <f>ROUND((AP210+AQ210)+AM210*(N210/12),0)</f>
        <v>0</v>
      </c>
      <c r="AT210" s="248">
        <f>ROUND(AM210*(O210/12),0)</f>
        <v>0</v>
      </c>
      <c r="AU210" s="248">
        <f>ROUND(AM210*(P210/12)*U210,0)</f>
        <v>0</v>
      </c>
      <c r="AW210" s="129">
        <f t="shared" si="50"/>
        <v>0</v>
      </c>
    </row>
    <row r="211" spans="1:49" x14ac:dyDescent="0.15">
      <c r="A211" s="157"/>
      <c r="B211" s="158"/>
      <c r="C211" s="158"/>
      <c r="D211" s="149" t="str">
        <f t="shared" si="53"/>
        <v xml:space="preserve"> </v>
      </c>
      <c r="E211" s="161"/>
      <c r="F211" s="261">
        <v>0</v>
      </c>
      <c r="G211" s="161">
        <v>37</v>
      </c>
      <c r="H211" s="161">
        <v>37</v>
      </c>
      <c r="I211" s="161"/>
      <c r="J211" s="163"/>
      <c r="K211" s="161"/>
      <c r="L211" s="163"/>
      <c r="M211" s="150"/>
      <c r="N211" s="150"/>
      <c r="O211" s="150"/>
      <c r="P211" s="150"/>
      <c r="Q211" s="151"/>
      <c r="R211" s="151"/>
      <c r="S211" s="152"/>
      <c r="V211" s="129">
        <f t="shared" si="42"/>
        <v>0</v>
      </c>
      <c r="W211" s="129">
        <f t="shared" si="43"/>
        <v>0</v>
      </c>
      <c r="X211" s="129">
        <f t="shared" si="52"/>
        <v>0</v>
      </c>
      <c r="Y211" s="129">
        <f t="shared" si="44"/>
        <v>65.337800000000001</v>
      </c>
      <c r="Z211" s="153">
        <f t="shared" si="36"/>
        <v>0</v>
      </c>
      <c r="AA211" s="248">
        <f t="shared" si="37"/>
        <v>0</v>
      </c>
      <c r="AB211" s="153">
        <f t="shared" si="45"/>
        <v>0</v>
      </c>
      <c r="AC211" s="248">
        <f t="shared" si="38"/>
        <v>0</v>
      </c>
      <c r="AD211" s="153">
        <f t="shared" si="39"/>
        <v>0</v>
      </c>
      <c r="AE211" s="248">
        <f t="shared" si="40"/>
        <v>0</v>
      </c>
      <c r="AF211" s="153">
        <f t="shared" si="46"/>
        <v>0</v>
      </c>
      <c r="AG211" s="248">
        <f t="shared" si="41"/>
        <v>0</v>
      </c>
      <c r="AH211" s="153">
        <f t="shared" si="47"/>
        <v>0</v>
      </c>
      <c r="AI211" s="153"/>
      <c r="AJ211" s="153">
        <f t="shared" si="48"/>
        <v>0</v>
      </c>
      <c r="AK211" s="153">
        <f t="shared" si="49"/>
        <v>0</v>
      </c>
      <c r="AL211" s="153"/>
      <c r="AM211" s="153"/>
      <c r="AN211" s="153"/>
      <c r="AQ211" s="153"/>
      <c r="AW211" s="129">
        <f t="shared" si="50"/>
        <v>0</v>
      </c>
    </row>
    <row r="212" spans="1:49" ht="9.75" thickBot="1" x14ac:dyDescent="0.2">
      <c r="A212" s="159"/>
      <c r="B212" s="160"/>
      <c r="C212" s="160"/>
      <c r="D212" s="154" t="str">
        <f t="shared" si="53"/>
        <v xml:space="preserve"> </v>
      </c>
      <c r="E212" s="162"/>
      <c r="F212" s="262">
        <v>0</v>
      </c>
      <c r="G212" s="162">
        <v>37</v>
      </c>
      <c r="H212" s="162">
        <v>37</v>
      </c>
      <c r="I212" s="162"/>
      <c r="J212" s="164"/>
      <c r="K212" s="162"/>
      <c r="L212" s="164"/>
      <c r="M212" s="164"/>
      <c r="N212" s="162"/>
      <c r="O212" s="162"/>
      <c r="P212" s="162"/>
      <c r="Q212" s="155">
        <f>AS212</f>
        <v>0</v>
      </c>
      <c r="R212" s="155">
        <f>AT212</f>
        <v>0</v>
      </c>
      <c r="S212" s="156">
        <f>AU212</f>
        <v>0</v>
      </c>
      <c r="U212" s="129">
        <f>IF(OR(C211=5,C212=5),0,1)</f>
        <v>1</v>
      </c>
      <c r="V212" s="129">
        <f t="shared" si="42"/>
        <v>0</v>
      </c>
      <c r="W212" s="129">
        <f t="shared" si="43"/>
        <v>0</v>
      </c>
      <c r="X212" s="129">
        <f t="shared" si="52"/>
        <v>0</v>
      </c>
      <c r="Y212" s="129">
        <f t="shared" si="44"/>
        <v>65.337800000000001</v>
      </c>
      <c r="Z212" s="153">
        <f t="shared" si="36"/>
        <v>0</v>
      </c>
      <c r="AA212" s="248">
        <f t="shared" si="37"/>
        <v>0</v>
      </c>
      <c r="AB212" s="153">
        <f t="shared" si="45"/>
        <v>0</v>
      </c>
      <c r="AC212" s="248">
        <f t="shared" si="38"/>
        <v>0</v>
      </c>
      <c r="AD212" s="153">
        <f t="shared" si="39"/>
        <v>0</v>
      </c>
      <c r="AE212" s="248">
        <f t="shared" si="40"/>
        <v>0</v>
      </c>
      <c r="AF212" s="153">
        <f t="shared" si="46"/>
        <v>0</v>
      </c>
      <c r="AG212" s="248">
        <f t="shared" si="41"/>
        <v>0</v>
      </c>
      <c r="AH212" s="153">
        <f t="shared" si="47"/>
        <v>0</v>
      </c>
      <c r="AI212" s="153"/>
      <c r="AJ212" s="153">
        <f t="shared" si="48"/>
        <v>0</v>
      </c>
      <c r="AK212" s="153">
        <f t="shared" si="49"/>
        <v>0</v>
      </c>
      <c r="AL212" s="153"/>
      <c r="AM212" s="153">
        <f>AK211*W211+AK212*W212</f>
        <v>0</v>
      </c>
      <c r="AN212" s="153">
        <f>(SUM(AD211:AG211)*W211+SUM(AD212:AG212)*W212)*12*VLOOKUP(C212,JNovergang,3,1)</f>
        <v>0</v>
      </c>
      <c r="AO212" s="153">
        <f>AM212-AN212</f>
        <v>0</v>
      </c>
      <c r="AP212" s="153">
        <f>M212*(100+X212)%</f>
        <v>0</v>
      </c>
      <c r="AQ212" s="248">
        <f>ROUND(M212*F212,2)</f>
        <v>0</v>
      </c>
      <c r="AS212" s="248">
        <f>ROUND((AP212+AQ212)+AM212*(N212/12),0)</f>
        <v>0</v>
      </c>
      <c r="AT212" s="248">
        <f>ROUND(AM212*(O212/12),0)</f>
        <v>0</v>
      </c>
      <c r="AU212" s="248">
        <f>ROUND(AM212*(P212/12)*U212,0)</f>
        <v>0</v>
      </c>
      <c r="AW212" s="129">
        <f t="shared" si="50"/>
        <v>0</v>
      </c>
    </row>
    <row r="213" spans="1:49" x14ac:dyDescent="0.15">
      <c r="A213" s="157"/>
      <c r="B213" s="158"/>
      <c r="C213" s="158"/>
      <c r="D213" s="149" t="str">
        <f t="shared" si="53"/>
        <v xml:space="preserve"> </v>
      </c>
      <c r="E213" s="161"/>
      <c r="F213" s="261">
        <v>0</v>
      </c>
      <c r="G213" s="161">
        <v>37</v>
      </c>
      <c r="H213" s="161">
        <v>37</v>
      </c>
      <c r="I213" s="161"/>
      <c r="J213" s="163"/>
      <c r="K213" s="161"/>
      <c r="L213" s="163"/>
      <c r="M213" s="150"/>
      <c r="N213" s="150"/>
      <c r="O213" s="150"/>
      <c r="P213" s="150"/>
      <c r="Q213" s="151"/>
      <c r="R213" s="151"/>
      <c r="S213" s="152"/>
      <c r="V213" s="129">
        <f t="shared" si="42"/>
        <v>0</v>
      </c>
      <c r="W213" s="129">
        <f t="shared" si="43"/>
        <v>0</v>
      </c>
      <c r="X213" s="129">
        <f t="shared" si="52"/>
        <v>0</v>
      </c>
      <c r="Y213" s="129">
        <f t="shared" si="44"/>
        <v>65.337800000000001</v>
      </c>
      <c r="Z213" s="153">
        <f t="shared" ref="Z213:Z276" si="54">ROUND(VLOOKUP(I213,TabelLønninger,VLOOKUP(E213,TabelLøntabel,2,1),1)*G213/H213,2)</f>
        <v>0</v>
      </c>
      <c r="AA213" s="248">
        <f t="shared" ref="AA213:AA276" si="55">ROUND(VLOOKUP(I213,TabelLønninger,VLOOKUP(E213,TabelPensgivLøn,2))*F213/12*G213/H213,2)</f>
        <v>0</v>
      </c>
      <c r="AB213" s="153">
        <f t="shared" si="45"/>
        <v>0</v>
      </c>
      <c r="AC213" s="248">
        <f t="shared" ref="AC213:AC276" si="56">ROUND(AB213*F213,2)</f>
        <v>0</v>
      </c>
      <c r="AD213" s="153">
        <f t="shared" ref="AD213:AD276" si="57">ROUND(VLOOKUP(I213+K213,TabelLønninger,VLOOKUP(E213,TabelLøntabel,2,1),1)*G213/H213,2)-Z213</f>
        <v>0</v>
      </c>
      <c r="AE213" s="248">
        <f t="shared" ref="AE213:AE276" si="58">ROUND(VLOOKUP(I213+K213,TabelLønninger,VLOOKUP(E213,TabelPensgivLøn,2))*F213/12*G213/H213,2)-AA213</f>
        <v>0</v>
      </c>
      <c r="AF213" s="153">
        <f t="shared" si="46"/>
        <v>0</v>
      </c>
      <c r="AG213" s="248">
        <f t="shared" ref="AG213:AG276" si="59">ROUND(AF213*F213,2)</f>
        <v>0</v>
      </c>
      <c r="AH213" s="153">
        <f t="shared" si="47"/>
        <v>0</v>
      </c>
      <c r="AI213" s="153"/>
      <c r="AJ213" s="153">
        <f t="shared" si="48"/>
        <v>0</v>
      </c>
      <c r="AK213" s="153">
        <f t="shared" si="49"/>
        <v>0</v>
      </c>
      <c r="AL213" s="153"/>
      <c r="AM213" s="153"/>
      <c r="AN213" s="153"/>
      <c r="AQ213" s="153"/>
      <c r="AW213" s="129">
        <f t="shared" si="50"/>
        <v>0</v>
      </c>
    </row>
    <row r="214" spans="1:49" ht="9.75" thickBot="1" x14ac:dyDescent="0.2">
      <c r="A214" s="159"/>
      <c r="B214" s="160"/>
      <c r="C214" s="160"/>
      <c r="D214" s="154" t="str">
        <f t="shared" si="53"/>
        <v xml:space="preserve"> </v>
      </c>
      <c r="E214" s="162"/>
      <c r="F214" s="262">
        <v>0</v>
      </c>
      <c r="G214" s="162">
        <v>37</v>
      </c>
      <c r="H214" s="162">
        <v>37</v>
      </c>
      <c r="I214" s="162"/>
      <c r="J214" s="164"/>
      <c r="K214" s="162"/>
      <c r="L214" s="164"/>
      <c r="M214" s="164"/>
      <c r="N214" s="162"/>
      <c r="O214" s="162"/>
      <c r="P214" s="162"/>
      <c r="Q214" s="155">
        <f>AS214</f>
        <v>0</v>
      </c>
      <c r="R214" s="155">
        <f>AT214</f>
        <v>0</v>
      </c>
      <c r="S214" s="156">
        <f>AU214</f>
        <v>0</v>
      </c>
      <c r="U214" s="129">
        <f>IF(OR(C213=5,C214=5),0,1)</f>
        <v>1</v>
      </c>
      <c r="V214" s="129">
        <f t="shared" ref="V214:V277" si="60">VLOOKUP(C214,TabelRammeforbrug,3,1)</f>
        <v>0</v>
      </c>
      <c r="W214" s="129">
        <f t="shared" ref="W214:W277" si="61">VLOOKUP(C214,FraTil,3,1)</f>
        <v>0</v>
      </c>
      <c r="X214" s="129">
        <f t="shared" si="52"/>
        <v>0</v>
      </c>
      <c r="Y214" s="129">
        <f t="shared" ref="Y214:Y277" si="62">VLOOKUP(E214,TabelPctReg,2)</f>
        <v>65.337800000000001</v>
      </c>
      <c r="Z214" s="153">
        <f t="shared" si="54"/>
        <v>0</v>
      </c>
      <c r="AA214" s="248">
        <f t="shared" si="55"/>
        <v>0</v>
      </c>
      <c r="AB214" s="153">
        <f t="shared" ref="AB214:AB277" si="63">ROUND(J214/12*(1+Y214%),2)*G214/H214</f>
        <v>0</v>
      </c>
      <c r="AC214" s="248">
        <f t="shared" si="56"/>
        <v>0</v>
      </c>
      <c r="AD214" s="153">
        <f t="shared" si="57"/>
        <v>0</v>
      </c>
      <c r="AE214" s="248">
        <f t="shared" si="58"/>
        <v>0</v>
      </c>
      <c r="AF214" s="153">
        <f t="shared" ref="AF214:AF277" si="64">ROUND(L214/12*(1+Y214%),2)*G214/H214</f>
        <v>0</v>
      </c>
      <c r="AG214" s="248">
        <f t="shared" si="59"/>
        <v>0</v>
      </c>
      <c r="AH214" s="153">
        <f t="shared" ref="AH214:AH277" si="65">ROUND((Z214+AB214+AD214+AF214)*X214%,2)</f>
        <v>0</v>
      </c>
      <c r="AI214" s="153"/>
      <c r="AJ214" s="153">
        <f t="shared" ref="AJ214:AJ277" si="66">SUM(Z214:AH214)</f>
        <v>0</v>
      </c>
      <c r="AK214" s="153">
        <f t="shared" ref="AK214:AK277" si="67">AJ214*12</f>
        <v>0</v>
      </c>
      <c r="AL214" s="153"/>
      <c r="AM214" s="153">
        <f>AK213*W213+AK214*W214</f>
        <v>0</v>
      </c>
      <c r="AN214" s="153">
        <f>(SUM(AD213:AG213)*W213+SUM(AD214:AG214)*W214)*12*VLOOKUP(C214,JNovergang,3,1)</f>
        <v>0</v>
      </c>
      <c r="AO214" s="153">
        <f>AM214-AN214</f>
        <v>0</v>
      </c>
      <c r="AP214" s="153">
        <f>M214*(100+X214)%</f>
        <v>0</v>
      </c>
      <c r="AQ214" s="248">
        <f>ROUND(M214*F214,2)</f>
        <v>0</v>
      </c>
      <c r="AS214" s="248">
        <f>ROUND((AP214+AQ214)+AM214*(N214/12),0)</f>
        <v>0</v>
      </c>
      <c r="AT214" s="248">
        <f>ROUND(AM214*(O214/12),0)</f>
        <v>0</v>
      </c>
      <c r="AU214" s="248">
        <f>ROUND(AM214*(P214/12)*U214,0)</f>
        <v>0</v>
      </c>
      <c r="AW214" s="129">
        <f t="shared" ref="AW214:AW277" si="68">IF(ISNUMBER(C214),ROW(),0)</f>
        <v>0</v>
      </c>
    </row>
    <row r="215" spans="1:49" x14ac:dyDescent="0.15">
      <c r="A215" s="157"/>
      <c r="B215" s="158"/>
      <c r="C215" s="158"/>
      <c r="D215" s="149" t="str">
        <f t="shared" si="53"/>
        <v xml:space="preserve"> </v>
      </c>
      <c r="E215" s="161"/>
      <c r="F215" s="261">
        <v>0</v>
      </c>
      <c r="G215" s="161">
        <v>37</v>
      </c>
      <c r="H215" s="161">
        <v>37</v>
      </c>
      <c r="I215" s="161"/>
      <c r="J215" s="163"/>
      <c r="K215" s="161"/>
      <c r="L215" s="163"/>
      <c r="M215" s="150"/>
      <c r="N215" s="150"/>
      <c r="O215" s="150"/>
      <c r="P215" s="150"/>
      <c r="Q215" s="151"/>
      <c r="R215" s="151"/>
      <c r="S215" s="152"/>
      <c r="V215" s="129">
        <f t="shared" si="60"/>
        <v>0</v>
      </c>
      <c r="W215" s="129">
        <f t="shared" si="61"/>
        <v>0</v>
      </c>
      <c r="X215" s="129">
        <f t="shared" si="52"/>
        <v>0</v>
      </c>
      <c r="Y215" s="129">
        <f t="shared" si="62"/>
        <v>65.337800000000001</v>
      </c>
      <c r="Z215" s="153">
        <f t="shared" si="54"/>
        <v>0</v>
      </c>
      <c r="AA215" s="248">
        <f t="shared" si="55"/>
        <v>0</v>
      </c>
      <c r="AB215" s="153">
        <f t="shared" si="63"/>
        <v>0</v>
      </c>
      <c r="AC215" s="248">
        <f t="shared" si="56"/>
        <v>0</v>
      </c>
      <c r="AD215" s="153">
        <f t="shared" si="57"/>
        <v>0</v>
      </c>
      <c r="AE215" s="248">
        <f t="shared" si="58"/>
        <v>0</v>
      </c>
      <c r="AF215" s="153">
        <f t="shared" si="64"/>
        <v>0</v>
      </c>
      <c r="AG215" s="248">
        <f t="shared" si="59"/>
        <v>0</v>
      </c>
      <c r="AH215" s="153">
        <f t="shared" si="65"/>
        <v>0</v>
      </c>
      <c r="AI215" s="153"/>
      <c r="AJ215" s="153">
        <f t="shared" si="66"/>
        <v>0</v>
      </c>
      <c r="AK215" s="153">
        <f t="shared" si="67"/>
        <v>0</v>
      </c>
      <c r="AL215" s="153"/>
      <c r="AM215" s="153"/>
      <c r="AN215" s="153"/>
      <c r="AQ215" s="153"/>
      <c r="AW215" s="129">
        <f t="shared" si="68"/>
        <v>0</v>
      </c>
    </row>
    <row r="216" spans="1:49" ht="9.75" thickBot="1" x14ac:dyDescent="0.2">
      <c r="A216" s="159"/>
      <c r="B216" s="160"/>
      <c r="C216" s="160"/>
      <c r="D216" s="154" t="str">
        <f t="shared" si="53"/>
        <v xml:space="preserve"> </v>
      </c>
      <c r="E216" s="162"/>
      <c r="F216" s="262">
        <v>0</v>
      </c>
      <c r="G216" s="162">
        <v>37</v>
      </c>
      <c r="H216" s="162">
        <v>37</v>
      </c>
      <c r="I216" s="162"/>
      <c r="J216" s="164"/>
      <c r="K216" s="162"/>
      <c r="L216" s="164"/>
      <c r="M216" s="164"/>
      <c r="N216" s="162"/>
      <c r="O216" s="162"/>
      <c r="P216" s="162"/>
      <c r="Q216" s="155">
        <f>AS216</f>
        <v>0</v>
      </c>
      <c r="R216" s="155">
        <f>AT216</f>
        <v>0</v>
      </c>
      <c r="S216" s="156">
        <f>AU216</f>
        <v>0</v>
      </c>
      <c r="U216" s="129">
        <f>IF(OR(C215=5,C216=5),0,1)</f>
        <v>1</v>
      </c>
      <c r="V216" s="129">
        <f t="shared" si="60"/>
        <v>0</v>
      </c>
      <c r="W216" s="129">
        <f t="shared" si="61"/>
        <v>0</v>
      </c>
      <c r="X216" s="129">
        <f t="shared" si="52"/>
        <v>0</v>
      </c>
      <c r="Y216" s="129">
        <f t="shared" si="62"/>
        <v>65.337800000000001</v>
      </c>
      <c r="Z216" s="153">
        <f t="shared" si="54"/>
        <v>0</v>
      </c>
      <c r="AA216" s="248">
        <f t="shared" si="55"/>
        <v>0</v>
      </c>
      <c r="AB216" s="153">
        <f t="shared" si="63"/>
        <v>0</v>
      </c>
      <c r="AC216" s="248">
        <f t="shared" si="56"/>
        <v>0</v>
      </c>
      <c r="AD216" s="153">
        <f t="shared" si="57"/>
        <v>0</v>
      </c>
      <c r="AE216" s="248">
        <f t="shared" si="58"/>
        <v>0</v>
      </c>
      <c r="AF216" s="153">
        <f t="shared" si="64"/>
        <v>0</v>
      </c>
      <c r="AG216" s="248">
        <f t="shared" si="59"/>
        <v>0</v>
      </c>
      <c r="AH216" s="153">
        <f t="shared" si="65"/>
        <v>0</v>
      </c>
      <c r="AI216" s="153"/>
      <c r="AJ216" s="153">
        <f t="shared" si="66"/>
        <v>0</v>
      </c>
      <c r="AK216" s="153">
        <f t="shared" si="67"/>
        <v>0</v>
      </c>
      <c r="AL216" s="153"/>
      <c r="AM216" s="153">
        <f>AK215*W215+AK216*W216</f>
        <v>0</v>
      </c>
      <c r="AN216" s="153">
        <f>(SUM(AD215:AG215)*W215+SUM(AD216:AG216)*W216)*12*VLOOKUP(C216,JNovergang,3,1)</f>
        <v>0</v>
      </c>
      <c r="AO216" s="153">
        <f>AM216-AN216</f>
        <v>0</v>
      </c>
      <c r="AP216" s="153">
        <f>M216*(100+X216)%</f>
        <v>0</v>
      </c>
      <c r="AQ216" s="248">
        <f>ROUND(M216*F216,2)</f>
        <v>0</v>
      </c>
      <c r="AS216" s="248">
        <f>ROUND((AP216+AQ216)+AM216*(N216/12),0)</f>
        <v>0</v>
      </c>
      <c r="AT216" s="248">
        <f>ROUND(AM216*(O216/12),0)</f>
        <v>0</v>
      </c>
      <c r="AU216" s="248">
        <f>ROUND(AM216*(P216/12)*U216,0)</f>
        <v>0</v>
      </c>
      <c r="AW216" s="129">
        <f t="shared" si="68"/>
        <v>0</v>
      </c>
    </row>
    <row r="217" spans="1:49" x14ac:dyDescent="0.15">
      <c r="A217" s="157"/>
      <c r="B217" s="158"/>
      <c r="C217" s="158"/>
      <c r="D217" s="149" t="str">
        <f t="shared" si="53"/>
        <v xml:space="preserve"> </v>
      </c>
      <c r="E217" s="161"/>
      <c r="F217" s="261">
        <v>0</v>
      </c>
      <c r="G217" s="161">
        <v>37</v>
      </c>
      <c r="H217" s="161">
        <v>37</v>
      </c>
      <c r="I217" s="161"/>
      <c r="J217" s="163"/>
      <c r="K217" s="161"/>
      <c r="L217" s="163"/>
      <c r="M217" s="150"/>
      <c r="N217" s="150"/>
      <c r="O217" s="150"/>
      <c r="P217" s="150"/>
      <c r="Q217" s="151"/>
      <c r="R217" s="151"/>
      <c r="S217" s="152"/>
      <c r="V217" s="129">
        <f t="shared" si="60"/>
        <v>0</v>
      </c>
      <c r="W217" s="129">
        <f t="shared" si="61"/>
        <v>0</v>
      </c>
      <c r="X217" s="129">
        <f t="shared" si="52"/>
        <v>0</v>
      </c>
      <c r="Y217" s="129">
        <f t="shared" si="62"/>
        <v>65.337800000000001</v>
      </c>
      <c r="Z217" s="153">
        <f t="shared" si="54"/>
        <v>0</v>
      </c>
      <c r="AA217" s="248">
        <f t="shared" si="55"/>
        <v>0</v>
      </c>
      <c r="AB217" s="153">
        <f t="shared" si="63"/>
        <v>0</v>
      </c>
      <c r="AC217" s="248">
        <f t="shared" si="56"/>
        <v>0</v>
      </c>
      <c r="AD217" s="153">
        <f t="shared" si="57"/>
        <v>0</v>
      </c>
      <c r="AE217" s="248">
        <f t="shared" si="58"/>
        <v>0</v>
      </c>
      <c r="AF217" s="153">
        <f t="shared" si="64"/>
        <v>0</v>
      </c>
      <c r="AG217" s="248">
        <f t="shared" si="59"/>
        <v>0</v>
      </c>
      <c r="AH217" s="153">
        <f t="shared" si="65"/>
        <v>0</v>
      </c>
      <c r="AI217" s="153"/>
      <c r="AJ217" s="153">
        <f t="shared" si="66"/>
        <v>0</v>
      </c>
      <c r="AK217" s="153">
        <f t="shared" si="67"/>
        <v>0</v>
      </c>
      <c r="AL217" s="153"/>
      <c r="AM217" s="153"/>
      <c r="AN217" s="153"/>
      <c r="AQ217" s="153"/>
      <c r="AW217" s="129">
        <f t="shared" si="68"/>
        <v>0</v>
      </c>
    </row>
    <row r="218" spans="1:49" ht="9.75" thickBot="1" x14ac:dyDescent="0.2">
      <c r="A218" s="159"/>
      <c r="B218" s="160"/>
      <c r="C218" s="160"/>
      <c r="D218" s="154" t="str">
        <f t="shared" si="53"/>
        <v xml:space="preserve"> </v>
      </c>
      <c r="E218" s="162"/>
      <c r="F218" s="262">
        <v>0</v>
      </c>
      <c r="G218" s="162">
        <v>37</v>
      </c>
      <c r="H218" s="162">
        <v>37</v>
      </c>
      <c r="I218" s="162"/>
      <c r="J218" s="164"/>
      <c r="K218" s="162"/>
      <c r="L218" s="164"/>
      <c r="M218" s="164"/>
      <c r="N218" s="162"/>
      <c r="O218" s="162"/>
      <c r="P218" s="162"/>
      <c r="Q218" s="155">
        <f>AS218</f>
        <v>0</v>
      </c>
      <c r="R218" s="155">
        <f>AT218</f>
        <v>0</v>
      </c>
      <c r="S218" s="156">
        <f>AU218</f>
        <v>0</v>
      </c>
      <c r="U218" s="129">
        <f>IF(OR(C217=5,C218=5),0,1)</f>
        <v>1</v>
      </c>
      <c r="V218" s="129">
        <f t="shared" si="60"/>
        <v>0</v>
      </c>
      <c r="W218" s="129">
        <f t="shared" si="61"/>
        <v>0</v>
      </c>
      <c r="X218" s="129">
        <f t="shared" si="52"/>
        <v>0</v>
      </c>
      <c r="Y218" s="129">
        <f t="shared" si="62"/>
        <v>65.337800000000001</v>
      </c>
      <c r="Z218" s="153">
        <f t="shared" si="54"/>
        <v>0</v>
      </c>
      <c r="AA218" s="248">
        <f t="shared" si="55"/>
        <v>0</v>
      </c>
      <c r="AB218" s="153">
        <f t="shared" si="63"/>
        <v>0</v>
      </c>
      <c r="AC218" s="248">
        <f t="shared" si="56"/>
        <v>0</v>
      </c>
      <c r="AD218" s="153">
        <f t="shared" si="57"/>
        <v>0</v>
      </c>
      <c r="AE218" s="248">
        <f t="shared" si="58"/>
        <v>0</v>
      </c>
      <c r="AF218" s="153">
        <f t="shared" si="64"/>
        <v>0</v>
      </c>
      <c r="AG218" s="248">
        <f t="shared" si="59"/>
        <v>0</v>
      </c>
      <c r="AH218" s="153">
        <f t="shared" si="65"/>
        <v>0</v>
      </c>
      <c r="AI218" s="153"/>
      <c r="AJ218" s="153">
        <f t="shared" si="66"/>
        <v>0</v>
      </c>
      <c r="AK218" s="153">
        <f t="shared" si="67"/>
        <v>0</v>
      </c>
      <c r="AL218" s="153"/>
      <c r="AM218" s="153">
        <f>AK217*W217+AK218*W218</f>
        <v>0</v>
      </c>
      <c r="AN218" s="153">
        <f>(SUM(AD217:AG217)*W217+SUM(AD218:AG218)*W218)*12*VLOOKUP(C218,JNovergang,3,1)</f>
        <v>0</v>
      </c>
      <c r="AO218" s="153">
        <f>AM218-AN218</f>
        <v>0</v>
      </c>
      <c r="AP218" s="153">
        <f>M218*(100+X218)%</f>
        <v>0</v>
      </c>
      <c r="AQ218" s="248">
        <f>ROUND(M218*F218,2)</f>
        <v>0</v>
      </c>
      <c r="AS218" s="248">
        <f>ROUND((AP218+AQ218)+AM218*(N218/12),0)</f>
        <v>0</v>
      </c>
      <c r="AT218" s="248">
        <f>ROUND(AM218*(O218/12),0)</f>
        <v>0</v>
      </c>
      <c r="AU218" s="248">
        <f>ROUND(AM218*(P218/12)*U218,0)</f>
        <v>0</v>
      </c>
      <c r="AW218" s="129">
        <f t="shared" si="68"/>
        <v>0</v>
      </c>
    </row>
    <row r="219" spans="1:49" x14ac:dyDescent="0.15">
      <c r="A219" s="157"/>
      <c r="B219" s="158"/>
      <c r="C219" s="158"/>
      <c r="D219" s="149" t="str">
        <f t="shared" si="53"/>
        <v xml:space="preserve"> </v>
      </c>
      <c r="E219" s="161"/>
      <c r="F219" s="261">
        <v>0</v>
      </c>
      <c r="G219" s="161">
        <v>37</v>
      </c>
      <c r="H219" s="161">
        <v>37</v>
      </c>
      <c r="I219" s="161"/>
      <c r="J219" s="163"/>
      <c r="K219" s="161"/>
      <c r="L219" s="163"/>
      <c r="M219" s="150"/>
      <c r="N219" s="150"/>
      <c r="O219" s="150"/>
      <c r="P219" s="150"/>
      <c r="Q219" s="151"/>
      <c r="R219" s="151"/>
      <c r="S219" s="152"/>
      <c r="V219" s="129">
        <f t="shared" si="60"/>
        <v>0</v>
      </c>
      <c r="W219" s="129">
        <f t="shared" si="61"/>
        <v>0</v>
      </c>
      <c r="X219" s="129">
        <f t="shared" si="52"/>
        <v>0</v>
      </c>
      <c r="Y219" s="129">
        <f t="shared" si="62"/>
        <v>65.337800000000001</v>
      </c>
      <c r="Z219" s="153">
        <f t="shared" si="54"/>
        <v>0</v>
      </c>
      <c r="AA219" s="248">
        <f t="shared" si="55"/>
        <v>0</v>
      </c>
      <c r="AB219" s="153">
        <f t="shared" si="63"/>
        <v>0</v>
      </c>
      <c r="AC219" s="248">
        <f t="shared" si="56"/>
        <v>0</v>
      </c>
      <c r="AD219" s="153">
        <f t="shared" si="57"/>
        <v>0</v>
      </c>
      <c r="AE219" s="248">
        <f t="shared" si="58"/>
        <v>0</v>
      </c>
      <c r="AF219" s="153">
        <f t="shared" si="64"/>
        <v>0</v>
      </c>
      <c r="AG219" s="248">
        <f t="shared" si="59"/>
        <v>0</v>
      </c>
      <c r="AH219" s="153">
        <f t="shared" si="65"/>
        <v>0</v>
      </c>
      <c r="AI219" s="153"/>
      <c r="AJ219" s="153">
        <f t="shared" si="66"/>
        <v>0</v>
      </c>
      <c r="AK219" s="153">
        <f t="shared" si="67"/>
        <v>0</v>
      </c>
      <c r="AL219" s="153"/>
      <c r="AM219" s="153"/>
      <c r="AN219" s="153"/>
      <c r="AQ219" s="153"/>
      <c r="AW219" s="129">
        <f t="shared" si="68"/>
        <v>0</v>
      </c>
    </row>
    <row r="220" spans="1:49" ht="9.75" thickBot="1" x14ac:dyDescent="0.2">
      <c r="A220" s="159"/>
      <c r="B220" s="160"/>
      <c r="C220" s="160"/>
      <c r="D220" s="154" t="str">
        <f t="shared" si="53"/>
        <v xml:space="preserve"> </v>
      </c>
      <c r="E220" s="162"/>
      <c r="F220" s="262">
        <v>0</v>
      </c>
      <c r="G220" s="162">
        <v>37</v>
      </c>
      <c r="H220" s="162">
        <v>37</v>
      </c>
      <c r="I220" s="162"/>
      <c r="J220" s="164"/>
      <c r="K220" s="162"/>
      <c r="L220" s="164"/>
      <c r="M220" s="164"/>
      <c r="N220" s="162"/>
      <c r="O220" s="162"/>
      <c r="P220" s="162"/>
      <c r="Q220" s="155">
        <f>AS220</f>
        <v>0</v>
      </c>
      <c r="R220" s="155">
        <f>AT220</f>
        <v>0</v>
      </c>
      <c r="S220" s="156">
        <f>AU220</f>
        <v>0</v>
      </c>
      <c r="U220" s="129">
        <f>IF(OR(C219=5,C220=5),0,1)</f>
        <v>1</v>
      </c>
      <c r="V220" s="129">
        <f t="shared" si="60"/>
        <v>0</v>
      </c>
      <c r="W220" s="129">
        <f t="shared" si="61"/>
        <v>0</v>
      </c>
      <c r="X220" s="129">
        <f t="shared" si="52"/>
        <v>0</v>
      </c>
      <c r="Y220" s="129">
        <f t="shared" si="62"/>
        <v>65.337800000000001</v>
      </c>
      <c r="Z220" s="153">
        <f t="shared" si="54"/>
        <v>0</v>
      </c>
      <c r="AA220" s="248">
        <f t="shared" si="55"/>
        <v>0</v>
      </c>
      <c r="AB220" s="153">
        <f t="shared" si="63"/>
        <v>0</v>
      </c>
      <c r="AC220" s="248">
        <f t="shared" si="56"/>
        <v>0</v>
      </c>
      <c r="AD220" s="153">
        <f t="shared" si="57"/>
        <v>0</v>
      </c>
      <c r="AE220" s="248">
        <f t="shared" si="58"/>
        <v>0</v>
      </c>
      <c r="AF220" s="153">
        <f t="shared" si="64"/>
        <v>0</v>
      </c>
      <c r="AG220" s="248">
        <f t="shared" si="59"/>
        <v>0</v>
      </c>
      <c r="AH220" s="153">
        <f t="shared" si="65"/>
        <v>0</v>
      </c>
      <c r="AI220" s="153"/>
      <c r="AJ220" s="153">
        <f t="shared" si="66"/>
        <v>0</v>
      </c>
      <c r="AK220" s="153">
        <f t="shared" si="67"/>
        <v>0</v>
      </c>
      <c r="AL220" s="153"/>
      <c r="AM220" s="153">
        <f>AK219*W219+AK220*W220</f>
        <v>0</v>
      </c>
      <c r="AN220" s="153">
        <f>(SUM(AD219:AG219)*W219+SUM(AD220:AG220)*W220)*12*VLOOKUP(C220,JNovergang,3,1)</f>
        <v>0</v>
      </c>
      <c r="AO220" s="153">
        <f>AM220-AN220</f>
        <v>0</v>
      </c>
      <c r="AP220" s="153">
        <f>M220*(100+X220)%</f>
        <v>0</v>
      </c>
      <c r="AQ220" s="248">
        <f>ROUND(M220*F220,2)</f>
        <v>0</v>
      </c>
      <c r="AS220" s="248">
        <f>ROUND((AP220+AQ220)+AM220*(N220/12),0)</f>
        <v>0</v>
      </c>
      <c r="AT220" s="248">
        <f>ROUND(AM220*(O220/12),0)</f>
        <v>0</v>
      </c>
      <c r="AU220" s="248">
        <f>ROUND(AM220*(P220/12)*U220,0)</f>
        <v>0</v>
      </c>
      <c r="AW220" s="129">
        <f t="shared" si="68"/>
        <v>0</v>
      </c>
    </row>
    <row r="221" spans="1:49" x14ac:dyDescent="0.15">
      <c r="A221" s="157"/>
      <c r="B221" s="158"/>
      <c r="C221" s="158"/>
      <c r="D221" s="149" t="str">
        <f t="shared" si="53"/>
        <v xml:space="preserve"> </v>
      </c>
      <c r="E221" s="161"/>
      <c r="F221" s="261">
        <v>0</v>
      </c>
      <c r="G221" s="161">
        <v>37</v>
      </c>
      <c r="H221" s="161">
        <v>37</v>
      </c>
      <c r="I221" s="161"/>
      <c r="J221" s="163"/>
      <c r="K221" s="161"/>
      <c r="L221" s="163"/>
      <c r="M221" s="150"/>
      <c r="N221" s="150"/>
      <c r="O221" s="150"/>
      <c r="P221" s="150"/>
      <c r="Q221" s="151"/>
      <c r="R221" s="151"/>
      <c r="S221" s="152"/>
      <c r="V221" s="129">
        <f t="shared" si="60"/>
        <v>0</v>
      </c>
      <c r="W221" s="129">
        <f t="shared" si="61"/>
        <v>0</v>
      </c>
      <c r="X221" s="129">
        <f t="shared" si="52"/>
        <v>0</v>
      </c>
      <c r="Y221" s="129">
        <f t="shared" si="62"/>
        <v>65.337800000000001</v>
      </c>
      <c r="Z221" s="153">
        <f t="shared" si="54"/>
        <v>0</v>
      </c>
      <c r="AA221" s="248">
        <f t="shared" si="55"/>
        <v>0</v>
      </c>
      <c r="AB221" s="153">
        <f t="shared" si="63"/>
        <v>0</v>
      </c>
      <c r="AC221" s="248">
        <f t="shared" si="56"/>
        <v>0</v>
      </c>
      <c r="AD221" s="153">
        <f t="shared" si="57"/>
        <v>0</v>
      </c>
      <c r="AE221" s="248">
        <f t="shared" si="58"/>
        <v>0</v>
      </c>
      <c r="AF221" s="153">
        <f t="shared" si="64"/>
        <v>0</v>
      </c>
      <c r="AG221" s="248">
        <f t="shared" si="59"/>
        <v>0</v>
      </c>
      <c r="AH221" s="153">
        <f t="shared" si="65"/>
        <v>0</v>
      </c>
      <c r="AI221" s="153"/>
      <c r="AJ221" s="153">
        <f t="shared" si="66"/>
        <v>0</v>
      </c>
      <c r="AK221" s="153">
        <f t="shared" si="67"/>
        <v>0</v>
      </c>
      <c r="AL221" s="153"/>
      <c r="AM221" s="153"/>
      <c r="AN221" s="153"/>
      <c r="AQ221" s="153"/>
      <c r="AW221" s="129">
        <f t="shared" si="68"/>
        <v>0</v>
      </c>
    </row>
    <row r="222" spans="1:49" ht="9.75" thickBot="1" x14ac:dyDescent="0.2">
      <c r="A222" s="159"/>
      <c r="B222" s="160"/>
      <c r="C222" s="160"/>
      <c r="D222" s="154" t="str">
        <f t="shared" si="53"/>
        <v xml:space="preserve"> </v>
      </c>
      <c r="E222" s="162"/>
      <c r="F222" s="262">
        <v>0</v>
      </c>
      <c r="G222" s="162">
        <v>37</v>
      </c>
      <c r="H222" s="162">
        <v>37</v>
      </c>
      <c r="I222" s="162"/>
      <c r="J222" s="164"/>
      <c r="K222" s="162"/>
      <c r="L222" s="164"/>
      <c r="M222" s="164"/>
      <c r="N222" s="162"/>
      <c r="O222" s="162"/>
      <c r="P222" s="162"/>
      <c r="Q222" s="155">
        <f>AS222</f>
        <v>0</v>
      </c>
      <c r="R222" s="155">
        <f>AT222</f>
        <v>0</v>
      </c>
      <c r="S222" s="156">
        <f>AU222</f>
        <v>0</v>
      </c>
      <c r="U222" s="129">
        <f>IF(OR(C221=5,C222=5),0,1)</f>
        <v>1</v>
      </c>
      <c r="V222" s="129">
        <f t="shared" si="60"/>
        <v>0</v>
      </c>
      <c r="W222" s="129">
        <f t="shared" si="61"/>
        <v>0</v>
      </c>
      <c r="X222" s="129">
        <f t="shared" si="52"/>
        <v>0</v>
      </c>
      <c r="Y222" s="129">
        <f t="shared" si="62"/>
        <v>65.337800000000001</v>
      </c>
      <c r="Z222" s="153">
        <f t="shared" si="54"/>
        <v>0</v>
      </c>
      <c r="AA222" s="248">
        <f t="shared" si="55"/>
        <v>0</v>
      </c>
      <c r="AB222" s="153">
        <f t="shared" si="63"/>
        <v>0</v>
      </c>
      <c r="AC222" s="248">
        <f t="shared" si="56"/>
        <v>0</v>
      </c>
      <c r="AD222" s="153">
        <f t="shared" si="57"/>
        <v>0</v>
      </c>
      <c r="AE222" s="248">
        <f t="shared" si="58"/>
        <v>0</v>
      </c>
      <c r="AF222" s="153">
        <f t="shared" si="64"/>
        <v>0</v>
      </c>
      <c r="AG222" s="248">
        <f t="shared" si="59"/>
        <v>0</v>
      </c>
      <c r="AH222" s="153">
        <f t="shared" si="65"/>
        <v>0</v>
      </c>
      <c r="AI222" s="153"/>
      <c r="AJ222" s="153">
        <f t="shared" si="66"/>
        <v>0</v>
      </c>
      <c r="AK222" s="153">
        <f t="shared" si="67"/>
        <v>0</v>
      </c>
      <c r="AL222" s="153"/>
      <c r="AM222" s="153">
        <f>AK221*W221+AK222*W222</f>
        <v>0</v>
      </c>
      <c r="AN222" s="153">
        <f>(SUM(AD221:AG221)*W221+SUM(AD222:AG222)*W222)*12*VLOOKUP(C222,JNovergang,3,1)</f>
        <v>0</v>
      </c>
      <c r="AO222" s="153">
        <f>AM222-AN222</f>
        <v>0</v>
      </c>
      <c r="AP222" s="153">
        <f>M222*(100+X222)%</f>
        <v>0</v>
      </c>
      <c r="AQ222" s="248">
        <f>ROUND(M222*F222,2)</f>
        <v>0</v>
      </c>
      <c r="AS222" s="248">
        <f>ROUND((AP222+AQ222)+AM222*(N222/12),0)</f>
        <v>0</v>
      </c>
      <c r="AT222" s="248">
        <f>ROUND(AM222*(O222/12),0)</f>
        <v>0</v>
      </c>
      <c r="AU222" s="248">
        <f>ROUND(AM222*(P222/12)*U222,0)</f>
        <v>0</v>
      </c>
      <c r="AW222" s="129">
        <f t="shared" si="68"/>
        <v>0</v>
      </c>
    </row>
    <row r="223" spans="1:49" x14ac:dyDescent="0.15">
      <c r="A223" s="157"/>
      <c r="B223" s="158"/>
      <c r="C223" s="158"/>
      <c r="D223" s="149" t="str">
        <f t="shared" si="53"/>
        <v xml:space="preserve"> </v>
      </c>
      <c r="E223" s="161"/>
      <c r="F223" s="261">
        <v>0</v>
      </c>
      <c r="G223" s="161">
        <v>37</v>
      </c>
      <c r="H223" s="161">
        <v>37</v>
      </c>
      <c r="I223" s="161"/>
      <c r="J223" s="163"/>
      <c r="K223" s="161"/>
      <c r="L223" s="163"/>
      <c r="M223" s="150"/>
      <c r="N223" s="150"/>
      <c r="O223" s="150"/>
      <c r="P223" s="150"/>
      <c r="Q223" s="151"/>
      <c r="R223" s="151"/>
      <c r="S223" s="152"/>
      <c r="V223" s="129">
        <f t="shared" si="60"/>
        <v>0</v>
      </c>
      <c r="W223" s="129">
        <f t="shared" si="61"/>
        <v>0</v>
      </c>
      <c r="X223" s="129">
        <f t="shared" si="52"/>
        <v>0</v>
      </c>
      <c r="Y223" s="129">
        <f t="shared" si="62"/>
        <v>65.337800000000001</v>
      </c>
      <c r="Z223" s="153">
        <f t="shared" si="54"/>
        <v>0</v>
      </c>
      <c r="AA223" s="248">
        <f t="shared" si="55"/>
        <v>0</v>
      </c>
      <c r="AB223" s="153">
        <f t="shared" si="63"/>
        <v>0</v>
      </c>
      <c r="AC223" s="248">
        <f t="shared" si="56"/>
        <v>0</v>
      </c>
      <c r="AD223" s="153">
        <f t="shared" si="57"/>
        <v>0</v>
      </c>
      <c r="AE223" s="248">
        <f t="shared" si="58"/>
        <v>0</v>
      </c>
      <c r="AF223" s="153">
        <f t="shared" si="64"/>
        <v>0</v>
      </c>
      <c r="AG223" s="248">
        <f t="shared" si="59"/>
        <v>0</v>
      </c>
      <c r="AH223" s="153">
        <f t="shared" si="65"/>
        <v>0</v>
      </c>
      <c r="AI223" s="153"/>
      <c r="AJ223" s="153">
        <f t="shared" si="66"/>
        <v>0</v>
      </c>
      <c r="AK223" s="153">
        <f t="shared" si="67"/>
        <v>0</v>
      </c>
      <c r="AL223" s="153"/>
      <c r="AM223" s="153"/>
      <c r="AN223" s="153"/>
      <c r="AQ223" s="153"/>
      <c r="AW223" s="129">
        <f t="shared" si="68"/>
        <v>0</v>
      </c>
    </row>
    <row r="224" spans="1:49" ht="9.75" thickBot="1" x14ac:dyDescent="0.2">
      <c r="A224" s="159"/>
      <c r="B224" s="160"/>
      <c r="C224" s="160"/>
      <c r="D224" s="154" t="str">
        <f t="shared" si="53"/>
        <v xml:space="preserve"> </v>
      </c>
      <c r="E224" s="162"/>
      <c r="F224" s="262">
        <v>0</v>
      </c>
      <c r="G224" s="162">
        <v>37</v>
      </c>
      <c r="H224" s="162">
        <v>37</v>
      </c>
      <c r="I224" s="162"/>
      <c r="J224" s="164"/>
      <c r="K224" s="162"/>
      <c r="L224" s="164"/>
      <c r="M224" s="164"/>
      <c r="N224" s="162"/>
      <c r="O224" s="162"/>
      <c r="P224" s="162"/>
      <c r="Q224" s="155">
        <f>AS224</f>
        <v>0</v>
      </c>
      <c r="R224" s="155">
        <f>AT224</f>
        <v>0</v>
      </c>
      <c r="S224" s="156">
        <f>AU224</f>
        <v>0</v>
      </c>
      <c r="U224" s="129">
        <f>IF(OR(C223=5,C224=5),0,1)</f>
        <v>1</v>
      </c>
      <c r="V224" s="129">
        <f t="shared" si="60"/>
        <v>0</v>
      </c>
      <c r="W224" s="129">
        <f t="shared" si="61"/>
        <v>0</v>
      </c>
      <c r="X224" s="129">
        <f t="shared" si="52"/>
        <v>0</v>
      </c>
      <c r="Y224" s="129">
        <f t="shared" si="62"/>
        <v>65.337800000000001</v>
      </c>
      <c r="Z224" s="153">
        <f t="shared" si="54"/>
        <v>0</v>
      </c>
      <c r="AA224" s="248">
        <f t="shared" si="55"/>
        <v>0</v>
      </c>
      <c r="AB224" s="153">
        <f t="shared" si="63"/>
        <v>0</v>
      </c>
      <c r="AC224" s="248">
        <f t="shared" si="56"/>
        <v>0</v>
      </c>
      <c r="AD224" s="153">
        <f t="shared" si="57"/>
        <v>0</v>
      </c>
      <c r="AE224" s="248">
        <f t="shared" si="58"/>
        <v>0</v>
      </c>
      <c r="AF224" s="153">
        <f t="shared" si="64"/>
        <v>0</v>
      </c>
      <c r="AG224" s="248">
        <f t="shared" si="59"/>
        <v>0</v>
      </c>
      <c r="AH224" s="153">
        <f t="shared" si="65"/>
        <v>0</v>
      </c>
      <c r="AI224" s="153"/>
      <c r="AJ224" s="153">
        <f t="shared" si="66"/>
        <v>0</v>
      </c>
      <c r="AK224" s="153">
        <f t="shared" si="67"/>
        <v>0</v>
      </c>
      <c r="AL224" s="153"/>
      <c r="AM224" s="153">
        <f>AK223*W223+AK224*W224</f>
        <v>0</v>
      </c>
      <c r="AN224" s="153">
        <f>(SUM(AD223:AG223)*W223+SUM(AD224:AG224)*W224)*12*VLOOKUP(C224,JNovergang,3,1)</f>
        <v>0</v>
      </c>
      <c r="AO224" s="153">
        <f>AM224-AN224</f>
        <v>0</v>
      </c>
      <c r="AP224" s="153">
        <f>M224*(100+X224)%</f>
        <v>0</v>
      </c>
      <c r="AQ224" s="248">
        <f>ROUND(M224*F224,2)</f>
        <v>0</v>
      </c>
      <c r="AS224" s="248">
        <f>ROUND((AP224+AQ224)+AM224*(N224/12),0)</f>
        <v>0</v>
      </c>
      <c r="AT224" s="248">
        <f>ROUND(AM224*(O224/12),0)</f>
        <v>0</v>
      </c>
      <c r="AU224" s="248">
        <f>ROUND(AM224*(P224/12)*U224,0)</f>
        <v>0</v>
      </c>
      <c r="AW224" s="129">
        <f t="shared" si="68"/>
        <v>0</v>
      </c>
    </row>
    <row r="225" spans="1:49" x14ac:dyDescent="0.15">
      <c r="A225" s="157"/>
      <c r="B225" s="158"/>
      <c r="C225" s="158"/>
      <c r="D225" s="149" t="str">
        <f t="shared" si="53"/>
        <v xml:space="preserve"> </v>
      </c>
      <c r="E225" s="161"/>
      <c r="F225" s="261">
        <v>0</v>
      </c>
      <c r="G225" s="161">
        <v>37</v>
      </c>
      <c r="H225" s="161">
        <v>37</v>
      </c>
      <c r="I225" s="161"/>
      <c r="J225" s="163"/>
      <c r="K225" s="161"/>
      <c r="L225" s="163"/>
      <c r="M225" s="150"/>
      <c r="N225" s="150"/>
      <c r="O225" s="150"/>
      <c r="P225" s="150"/>
      <c r="Q225" s="151"/>
      <c r="R225" s="151"/>
      <c r="S225" s="152"/>
      <c r="V225" s="129">
        <f t="shared" si="60"/>
        <v>0</v>
      </c>
      <c r="W225" s="129">
        <f t="shared" si="61"/>
        <v>0</v>
      </c>
      <c r="X225" s="129">
        <f t="shared" si="52"/>
        <v>0</v>
      </c>
      <c r="Y225" s="129">
        <f t="shared" si="62"/>
        <v>65.337800000000001</v>
      </c>
      <c r="Z225" s="153">
        <f t="shared" si="54"/>
        <v>0</v>
      </c>
      <c r="AA225" s="248">
        <f t="shared" si="55"/>
        <v>0</v>
      </c>
      <c r="AB225" s="153">
        <f t="shared" si="63"/>
        <v>0</v>
      </c>
      <c r="AC225" s="248">
        <f t="shared" si="56"/>
        <v>0</v>
      </c>
      <c r="AD225" s="153">
        <f t="shared" si="57"/>
        <v>0</v>
      </c>
      <c r="AE225" s="248">
        <f t="shared" si="58"/>
        <v>0</v>
      </c>
      <c r="AF225" s="153">
        <f t="shared" si="64"/>
        <v>0</v>
      </c>
      <c r="AG225" s="248">
        <f t="shared" si="59"/>
        <v>0</v>
      </c>
      <c r="AH225" s="153">
        <f t="shared" si="65"/>
        <v>0</v>
      </c>
      <c r="AI225" s="153"/>
      <c r="AJ225" s="153">
        <f t="shared" si="66"/>
        <v>0</v>
      </c>
      <c r="AK225" s="153">
        <f t="shared" si="67"/>
        <v>0</v>
      </c>
      <c r="AL225" s="153"/>
      <c r="AM225" s="153"/>
      <c r="AN225" s="153"/>
      <c r="AQ225" s="153"/>
      <c r="AW225" s="129">
        <f t="shared" si="68"/>
        <v>0</v>
      </c>
    </row>
    <row r="226" spans="1:49" ht="9.75" thickBot="1" x14ac:dyDescent="0.2">
      <c r="A226" s="159"/>
      <c r="B226" s="160"/>
      <c r="C226" s="160"/>
      <c r="D226" s="154" t="str">
        <f t="shared" si="53"/>
        <v xml:space="preserve"> </v>
      </c>
      <c r="E226" s="162"/>
      <c r="F226" s="262">
        <v>0</v>
      </c>
      <c r="G226" s="162">
        <v>37</v>
      </c>
      <c r="H226" s="162">
        <v>37</v>
      </c>
      <c r="I226" s="162"/>
      <c r="J226" s="164"/>
      <c r="K226" s="162"/>
      <c r="L226" s="164"/>
      <c r="M226" s="164"/>
      <c r="N226" s="162"/>
      <c r="O226" s="162"/>
      <c r="P226" s="162"/>
      <c r="Q226" s="155">
        <f>AS226</f>
        <v>0</v>
      </c>
      <c r="R226" s="155">
        <f>AT226</f>
        <v>0</v>
      </c>
      <c r="S226" s="156">
        <f>AU226</f>
        <v>0</v>
      </c>
      <c r="U226" s="129">
        <f>IF(OR(C225=5,C226=5),0,1)</f>
        <v>1</v>
      </c>
      <c r="V226" s="129">
        <f t="shared" si="60"/>
        <v>0</v>
      </c>
      <c r="W226" s="129">
        <f t="shared" si="61"/>
        <v>0</v>
      </c>
      <c r="X226" s="129">
        <f t="shared" si="52"/>
        <v>0</v>
      </c>
      <c r="Y226" s="129">
        <f t="shared" si="62"/>
        <v>65.337800000000001</v>
      </c>
      <c r="Z226" s="153">
        <f t="shared" si="54"/>
        <v>0</v>
      </c>
      <c r="AA226" s="248">
        <f t="shared" si="55"/>
        <v>0</v>
      </c>
      <c r="AB226" s="153">
        <f t="shared" si="63"/>
        <v>0</v>
      </c>
      <c r="AC226" s="248">
        <f t="shared" si="56"/>
        <v>0</v>
      </c>
      <c r="AD226" s="153">
        <f t="shared" si="57"/>
        <v>0</v>
      </c>
      <c r="AE226" s="248">
        <f t="shared" si="58"/>
        <v>0</v>
      </c>
      <c r="AF226" s="153">
        <f t="shared" si="64"/>
        <v>0</v>
      </c>
      <c r="AG226" s="248">
        <f t="shared" si="59"/>
        <v>0</v>
      </c>
      <c r="AH226" s="153">
        <f t="shared" si="65"/>
        <v>0</v>
      </c>
      <c r="AI226" s="153"/>
      <c r="AJ226" s="153">
        <f t="shared" si="66"/>
        <v>0</v>
      </c>
      <c r="AK226" s="153">
        <f t="shared" si="67"/>
        <v>0</v>
      </c>
      <c r="AL226" s="153"/>
      <c r="AM226" s="153">
        <f>AK225*W225+AK226*W226</f>
        <v>0</v>
      </c>
      <c r="AN226" s="153">
        <f>(SUM(AD225:AG225)*W225+SUM(AD226:AG226)*W226)*12*VLOOKUP(C226,JNovergang,3,1)</f>
        <v>0</v>
      </c>
      <c r="AO226" s="153">
        <f>AM226-AN226</f>
        <v>0</v>
      </c>
      <c r="AP226" s="153">
        <f>M226*(100+X226)%</f>
        <v>0</v>
      </c>
      <c r="AQ226" s="248">
        <f>ROUND(M226*F226,2)</f>
        <v>0</v>
      </c>
      <c r="AS226" s="248">
        <f>ROUND((AP226+AQ226)+AM226*(N226/12),0)</f>
        <v>0</v>
      </c>
      <c r="AT226" s="248">
        <f>ROUND(AM226*(O226/12),0)</f>
        <v>0</v>
      </c>
      <c r="AU226" s="248">
        <f>ROUND(AM226*(P226/12)*U226,0)</f>
        <v>0</v>
      </c>
      <c r="AW226" s="129">
        <f t="shared" si="68"/>
        <v>0</v>
      </c>
    </row>
    <row r="227" spans="1:49" x14ac:dyDescent="0.15">
      <c r="A227" s="157"/>
      <c r="B227" s="158"/>
      <c r="C227" s="158"/>
      <c r="D227" s="149" t="str">
        <f t="shared" si="53"/>
        <v xml:space="preserve"> </v>
      </c>
      <c r="E227" s="161"/>
      <c r="F227" s="261">
        <v>0</v>
      </c>
      <c r="G227" s="161">
        <v>37</v>
      </c>
      <c r="H227" s="161">
        <v>37</v>
      </c>
      <c r="I227" s="161"/>
      <c r="J227" s="163"/>
      <c r="K227" s="161"/>
      <c r="L227" s="163"/>
      <c r="M227" s="150"/>
      <c r="N227" s="150"/>
      <c r="O227" s="150"/>
      <c r="P227" s="150"/>
      <c r="Q227" s="151"/>
      <c r="R227" s="151"/>
      <c r="S227" s="152"/>
      <c r="V227" s="129">
        <f t="shared" si="60"/>
        <v>0</v>
      </c>
      <c r="W227" s="129">
        <f t="shared" si="61"/>
        <v>0</v>
      </c>
      <c r="X227" s="129">
        <f t="shared" si="52"/>
        <v>0</v>
      </c>
      <c r="Y227" s="129">
        <f t="shared" si="62"/>
        <v>65.337800000000001</v>
      </c>
      <c r="Z227" s="153">
        <f t="shared" si="54"/>
        <v>0</v>
      </c>
      <c r="AA227" s="248">
        <f t="shared" si="55"/>
        <v>0</v>
      </c>
      <c r="AB227" s="153">
        <f t="shared" si="63"/>
        <v>0</v>
      </c>
      <c r="AC227" s="248">
        <f t="shared" si="56"/>
        <v>0</v>
      </c>
      <c r="AD227" s="153">
        <f t="shared" si="57"/>
        <v>0</v>
      </c>
      <c r="AE227" s="248">
        <f t="shared" si="58"/>
        <v>0</v>
      </c>
      <c r="AF227" s="153">
        <f t="shared" si="64"/>
        <v>0</v>
      </c>
      <c r="AG227" s="248">
        <f t="shared" si="59"/>
        <v>0</v>
      </c>
      <c r="AH227" s="153">
        <f t="shared" si="65"/>
        <v>0</v>
      </c>
      <c r="AI227" s="153"/>
      <c r="AJ227" s="153">
        <f t="shared" si="66"/>
        <v>0</v>
      </c>
      <c r="AK227" s="153">
        <f t="shared" si="67"/>
        <v>0</v>
      </c>
      <c r="AL227" s="153"/>
      <c r="AM227" s="153"/>
      <c r="AN227" s="153"/>
      <c r="AQ227" s="153"/>
      <c r="AW227" s="129">
        <f t="shared" si="68"/>
        <v>0</v>
      </c>
    </row>
    <row r="228" spans="1:49" ht="9.75" thickBot="1" x14ac:dyDescent="0.2">
      <c r="A228" s="159"/>
      <c r="B228" s="160"/>
      <c r="C228" s="160"/>
      <c r="D228" s="154" t="str">
        <f t="shared" si="53"/>
        <v xml:space="preserve"> </v>
      </c>
      <c r="E228" s="162"/>
      <c r="F228" s="262">
        <v>0</v>
      </c>
      <c r="G228" s="162">
        <v>37</v>
      </c>
      <c r="H228" s="162">
        <v>37</v>
      </c>
      <c r="I228" s="162"/>
      <c r="J228" s="164"/>
      <c r="K228" s="162"/>
      <c r="L228" s="164"/>
      <c r="M228" s="164"/>
      <c r="N228" s="162"/>
      <c r="O228" s="162"/>
      <c r="P228" s="162"/>
      <c r="Q228" s="155">
        <f>AS228</f>
        <v>0</v>
      </c>
      <c r="R228" s="155">
        <f>AT228</f>
        <v>0</v>
      </c>
      <c r="S228" s="156">
        <f>AU228</f>
        <v>0</v>
      </c>
      <c r="U228" s="129">
        <f>IF(OR(C227=5,C228=5),0,1)</f>
        <v>1</v>
      </c>
      <c r="V228" s="129">
        <f t="shared" si="60"/>
        <v>0</v>
      </c>
      <c r="W228" s="129">
        <f t="shared" si="61"/>
        <v>0</v>
      </c>
      <c r="X228" s="129">
        <f t="shared" si="52"/>
        <v>0</v>
      </c>
      <c r="Y228" s="129">
        <f t="shared" si="62"/>
        <v>65.337800000000001</v>
      </c>
      <c r="Z228" s="153">
        <f t="shared" si="54"/>
        <v>0</v>
      </c>
      <c r="AA228" s="248">
        <f t="shared" si="55"/>
        <v>0</v>
      </c>
      <c r="AB228" s="153">
        <f t="shared" si="63"/>
        <v>0</v>
      </c>
      <c r="AC228" s="248">
        <f t="shared" si="56"/>
        <v>0</v>
      </c>
      <c r="AD228" s="153">
        <f t="shared" si="57"/>
        <v>0</v>
      </c>
      <c r="AE228" s="248">
        <f t="shared" si="58"/>
        <v>0</v>
      </c>
      <c r="AF228" s="153">
        <f t="shared" si="64"/>
        <v>0</v>
      </c>
      <c r="AG228" s="248">
        <f t="shared" si="59"/>
        <v>0</v>
      </c>
      <c r="AH228" s="153">
        <f t="shared" si="65"/>
        <v>0</v>
      </c>
      <c r="AI228" s="153"/>
      <c r="AJ228" s="153">
        <f t="shared" si="66"/>
        <v>0</v>
      </c>
      <c r="AK228" s="153">
        <f t="shared" si="67"/>
        <v>0</v>
      </c>
      <c r="AL228" s="153"/>
      <c r="AM228" s="153">
        <f>AK227*W227+AK228*W228</f>
        <v>0</v>
      </c>
      <c r="AN228" s="153">
        <f>(SUM(AD227:AG227)*W227+SUM(AD228:AG228)*W228)*12*VLOOKUP(C228,JNovergang,3,1)</f>
        <v>0</v>
      </c>
      <c r="AO228" s="153">
        <f>AM228-AN228</f>
        <v>0</v>
      </c>
      <c r="AP228" s="153">
        <f>M228*(100+X228)%</f>
        <v>0</v>
      </c>
      <c r="AQ228" s="248">
        <f>ROUND(M228*F228,2)</f>
        <v>0</v>
      </c>
      <c r="AS228" s="248">
        <f>ROUND((AP228+AQ228)+AM228*(N228/12),0)</f>
        <v>0</v>
      </c>
      <c r="AT228" s="248">
        <f>ROUND(AM228*(O228/12),0)</f>
        <v>0</v>
      </c>
      <c r="AU228" s="248">
        <f>ROUND(AM228*(P228/12)*U228,0)</f>
        <v>0</v>
      </c>
      <c r="AW228" s="129">
        <f t="shared" si="68"/>
        <v>0</v>
      </c>
    </row>
    <row r="229" spans="1:49" x14ac:dyDescent="0.15">
      <c r="A229" s="157"/>
      <c r="B229" s="158"/>
      <c r="C229" s="158"/>
      <c r="D229" s="149" t="str">
        <f t="shared" si="53"/>
        <v xml:space="preserve"> </v>
      </c>
      <c r="E229" s="161"/>
      <c r="F229" s="261">
        <v>0</v>
      </c>
      <c r="G229" s="161">
        <v>37</v>
      </c>
      <c r="H229" s="161">
        <v>37</v>
      </c>
      <c r="I229" s="161"/>
      <c r="J229" s="163"/>
      <c r="K229" s="161"/>
      <c r="L229" s="163"/>
      <c r="M229" s="150"/>
      <c r="N229" s="150"/>
      <c r="O229" s="150"/>
      <c r="P229" s="150"/>
      <c r="Q229" s="151"/>
      <c r="R229" s="151"/>
      <c r="S229" s="152"/>
      <c r="V229" s="129">
        <f t="shared" si="60"/>
        <v>0</v>
      </c>
      <c r="W229" s="129">
        <f t="shared" si="61"/>
        <v>0</v>
      </c>
      <c r="X229" s="129">
        <f t="shared" si="52"/>
        <v>0</v>
      </c>
      <c r="Y229" s="129">
        <f t="shared" si="62"/>
        <v>65.337800000000001</v>
      </c>
      <c r="Z229" s="153">
        <f t="shared" si="54"/>
        <v>0</v>
      </c>
      <c r="AA229" s="248">
        <f t="shared" si="55"/>
        <v>0</v>
      </c>
      <c r="AB229" s="153">
        <f t="shared" si="63"/>
        <v>0</v>
      </c>
      <c r="AC229" s="248">
        <f t="shared" si="56"/>
        <v>0</v>
      </c>
      <c r="AD229" s="153">
        <f t="shared" si="57"/>
        <v>0</v>
      </c>
      <c r="AE229" s="248">
        <f t="shared" si="58"/>
        <v>0</v>
      </c>
      <c r="AF229" s="153">
        <f t="shared" si="64"/>
        <v>0</v>
      </c>
      <c r="AG229" s="248">
        <f t="shared" si="59"/>
        <v>0</v>
      </c>
      <c r="AH229" s="153">
        <f t="shared" si="65"/>
        <v>0</v>
      </c>
      <c r="AI229" s="153"/>
      <c r="AJ229" s="153">
        <f t="shared" si="66"/>
        <v>0</v>
      </c>
      <c r="AK229" s="153">
        <f t="shared" si="67"/>
        <v>0</v>
      </c>
      <c r="AL229" s="153"/>
      <c r="AM229" s="153"/>
      <c r="AN229" s="153"/>
      <c r="AQ229" s="153"/>
      <c r="AW229" s="129">
        <f t="shared" si="68"/>
        <v>0</v>
      </c>
    </row>
    <row r="230" spans="1:49" ht="9.75" thickBot="1" x14ac:dyDescent="0.2">
      <c r="A230" s="159"/>
      <c r="B230" s="160"/>
      <c r="C230" s="160"/>
      <c r="D230" s="154" t="str">
        <f t="shared" si="53"/>
        <v xml:space="preserve"> </v>
      </c>
      <c r="E230" s="162"/>
      <c r="F230" s="262">
        <v>0</v>
      </c>
      <c r="G230" s="162">
        <v>37</v>
      </c>
      <c r="H230" s="162">
        <v>37</v>
      </c>
      <c r="I230" s="162"/>
      <c r="J230" s="164"/>
      <c r="K230" s="162"/>
      <c r="L230" s="164"/>
      <c r="M230" s="164"/>
      <c r="N230" s="162"/>
      <c r="O230" s="162"/>
      <c r="P230" s="162"/>
      <c r="Q230" s="155">
        <f>AS230</f>
        <v>0</v>
      </c>
      <c r="R230" s="155">
        <f>AT230</f>
        <v>0</v>
      </c>
      <c r="S230" s="156">
        <f>AU230</f>
        <v>0</v>
      </c>
      <c r="U230" s="129">
        <f>IF(OR(C229=5,C230=5),0,1)</f>
        <v>1</v>
      </c>
      <c r="V230" s="129">
        <f t="shared" si="60"/>
        <v>0</v>
      </c>
      <c r="W230" s="129">
        <f t="shared" si="61"/>
        <v>0</v>
      </c>
      <c r="X230" s="129">
        <f t="shared" si="52"/>
        <v>0</v>
      </c>
      <c r="Y230" s="129">
        <f t="shared" si="62"/>
        <v>65.337800000000001</v>
      </c>
      <c r="Z230" s="153">
        <f t="shared" si="54"/>
        <v>0</v>
      </c>
      <c r="AA230" s="248">
        <f t="shared" si="55"/>
        <v>0</v>
      </c>
      <c r="AB230" s="153">
        <f t="shared" si="63"/>
        <v>0</v>
      </c>
      <c r="AC230" s="248">
        <f t="shared" si="56"/>
        <v>0</v>
      </c>
      <c r="AD230" s="153">
        <f t="shared" si="57"/>
        <v>0</v>
      </c>
      <c r="AE230" s="248">
        <f t="shared" si="58"/>
        <v>0</v>
      </c>
      <c r="AF230" s="153">
        <f t="shared" si="64"/>
        <v>0</v>
      </c>
      <c r="AG230" s="248">
        <f t="shared" si="59"/>
        <v>0</v>
      </c>
      <c r="AH230" s="153">
        <f t="shared" si="65"/>
        <v>0</v>
      </c>
      <c r="AI230" s="153"/>
      <c r="AJ230" s="153">
        <f t="shared" si="66"/>
        <v>0</v>
      </c>
      <c r="AK230" s="153">
        <f t="shared" si="67"/>
        <v>0</v>
      </c>
      <c r="AL230" s="153"/>
      <c r="AM230" s="153">
        <f>AK229*W229+AK230*W230</f>
        <v>0</v>
      </c>
      <c r="AN230" s="153">
        <f>(SUM(AD229:AG229)*W229+SUM(AD230:AG230)*W230)*12*VLOOKUP(C230,JNovergang,3,1)</f>
        <v>0</v>
      </c>
      <c r="AO230" s="153">
        <f>AM230-AN230</f>
        <v>0</v>
      </c>
      <c r="AP230" s="153">
        <f>M230*(100+X230)%</f>
        <v>0</v>
      </c>
      <c r="AQ230" s="248">
        <f>ROUND(M230*F230,2)</f>
        <v>0</v>
      </c>
      <c r="AS230" s="248">
        <f>ROUND((AP230+AQ230)+AM230*(N230/12),0)</f>
        <v>0</v>
      </c>
      <c r="AT230" s="248">
        <f>ROUND(AM230*(O230/12),0)</f>
        <v>0</v>
      </c>
      <c r="AU230" s="248">
        <f>ROUND(AM230*(P230/12)*U230,0)</f>
        <v>0</v>
      </c>
      <c r="AW230" s="129">
        <f t="shared" si="68"/>
        <v>0</v>
      </c>
    </row>
    <row r="231" spans="1:49" x14ac:dyDescent="0.15">
      <c r="A231" s="157"/>
      <c r="B231" s="158"/>
      <c r="C231" s="158"/>
      <c r="D231" s="149" t="str">
        <f t="shared" si="53"/>
        <v xml:space="preserve"> </v>
      </c>
      <c r="E231" s="161"/>
      <c r="F231" s="261">
        <v>0</v>
      </c>
      <c r="G231" s="161">
        <v>37</v>
      </c>
      <c r="H231" s="161">
        <v>37</v>
      </c>
      <c r="I231" s="161"/>
      <c r="J231" s="163"/>
      <c r="K231" s="161"/>
      <c r="L231" s="163"/>
      <c r="M231" s="150"/>
      <c r="N231" s="150"/>
      <c r="O231" s="150"/>
      <c r="P231" s="150"/>
      <c r="Q231" s="151"/>
      <c r="R231" s="151"/>
      <c r="S231" s="152"/>
      <c r="V231" s="129">
        <f t="shared" si="60"/>
        <v>0</v>
      </c>
      <c r="W231" s="129">
        <f t="shared" si="61"/>
        <v>0</v>
      </c>
      <c r="X231" s="129">
        <f t="shared" si="52"/>
        <v>0</v>
      </c>
      <c r="Y231" s="129">
        <f t="shared" si="62"/>
        <v>65.337800000000001</v>
      </c>
      <c r="Z231" s="153">
        <f t="shared" si="54"/>
        <v>0</v>
      </c>
      <c r="AA231" s="248">
        <f t="shared" si="55"/>
        <v>0</v>
      </c>
      <c r="AB231" s="153">
        <f t="shared" si="63"/>
        <v>0</v>
      </c>
      <c r="AC231" s="248">
        <f t="shared" si="56"/>
        <v>0</v>
      </c>
      <c r="AD231" s="153">
        <f t="shared" si="57"/>
        <v>0</v>
      </c>
      <c r="AE231" s="248">
        <f t="shared" si="58"/>
        <v>0</v>
      </c>
      <c r="AF231" s="153">
        <f t="shared" si="64"/>
        <v>0</v>
      </c>
      <c r="AG231" s="248">
        <f t="shared" si="59"/>
        <v>0</v>
      </c>
      <c r="AH231" s="153">
        <f t="shared" si="65"/>
        <v>0</v>
      </c>
      <c r="AI231" s="153"/>
      <c r="AJ231" s="153">
        <f t="shared" si="66"/>
        <v>0</v>
      </c>
      <c r="AK231" s="153">
        <f t="shared" si="67"/>
        <v>0</v>
      </c>
      <c r="AL231" s="153"/>
      <c r="AM231" s="153"/>
      <c r="AN231" s="153"/>
      <c r="AQ231" s="153"/>
      <c r="AW231" s="129">
        <f t="shared" si="68"/>
        <v>0</v>
      </c>
    </row>
    <row r="232" spans="1:49" ht="9.75" thickBot="1" x14ac:dyDescent="0.2">
      <c r="A232" s="159"/>
      <c r="B232" s="160"/>
      <c r="C232" s="160"/>
      <c r="D232" s="154" t="str">
        <f t="shared" si="53"/>
        <v xml:space="preserve"> </v>
      </c>
      <c r="E232" s="162"/>
      <c r="F232" s="262">
        <v>0</v>
      </c>
      <c r="G232" s="162">
        <v>37</v>
      </c>
      <c r="H232" s="162">
        <v>37</v>
      </c>
      <c r="I232" s="162"/>
      <c r="J232" s="164"/>
      <c r="K232" s="162"/>
      <c r="L232" s="164"/>
      <c r="M232" s="164"/>
      <c r="N232" s="162"/>
      <c r="O232" s="162"/>
      <c r="P232" s="162"/>
      <c r="Q232" s="155">
        <f>AS232</f>
        <v>0</v>
      </c>
      <c r="R232" s="155">
        <f>AT232</f>
        <v>0</v>
      </c>
      <c r="S232" s="156">
        <f>AU232</f>
        <v>0</v>
      </c>
      <c r="U232" s="129">
        <f>IF(OR(C231=5,C232=5),0,1)</f>
        <v>1</v>
      </c>
      <c r="V232" s="129">
        <f t="shared" si="60"/>
        <v>0</v>
      </c>
      <c r="W232" s="129">
        <f t="shared" si="61"/>
        <v>0</v>
      </c>
      <c r="X232" s="129">
        <f t="shared" si="52"/>
        <v>0</v>
      </c>
      <c r="Y232" s="129">
        <f t="shared" si="62"/>
        <v>65.337800000000001</v>
      </c>
      <c r="Z232" s="153">
        <f t="shared" si="54"/>
        <v>0</v>
      </c>
      <c r="AA232" s="248">
        <f t="shared" si="55"/>
        <v>0</v>
      </c>
      <c r="AB232" s="153">
        <f t="shared" si="63"/>
        <v>0</v>
      </c>
      <c r="AC232" s="248">
        <f t="shared" si="56"/>
        <v>0</v>
      </c>
      <c r="AD232" s="153">
        <f t="shared" si="57"/>
        <v>0</v>
      </c>
      <c r="AE232" s="248">
        <f t="shared" si="58"/>
        <v>0</v>
      </c>
      <c r="AF232" s="153">
        <f t="shared" si="64"/>
        <v>0</v>
      </c>
      <c r="AG232" s="248">
        <f t="shared" si="59"/>
        <v>0</v>
      </c>
      <c r="AH232" s="153">
        <f t="shared" si="65"/>
        <v>0</v>
      </c>
      <c r="AI232" s="153"/>
      <c r="AJ232" s="153">
        <f t="shared" si="66"/>
        <v>0</v>
      </c>
      <c r="AK232" s="153">
        <f t="shared" si="67"/>
        <v>0</v>
      </c>
      <c r="AL232" s="153"/>
      <c r="AM232" s="153">
        <f>AK231*W231+AK232*W232</f>
        <v>0</v>
      </c>
      <c r="AN232" s="153">
        <f>(SUM(AD231:AG231)*W231+SUM(AD232:AG232)*W232)*12*VLOOKUP(C232,JNovergang,3,1)</f>
        <v>0</v>
      </c>
      <c r="AO232" s="153">
        <f>AM232-AN232</f>
        <v>0</v>
      </c>
      <c r="AP232" s="153">
        <f>M232*(100+X232)%</f>
        <v>0</v>
      </c>
      <c r="AQ232" s="248">
        <f>ROUND(M232*F232,2)</f>
        <v>0</v>
      </c>
      <c r="AS232" s="248">
        <f>ROUND((AP232+AQ232)+AM232*(N232/12),0)</f>
        <v>0</v>
      </c>
      <c r="AT232" s="248">
        <f>ROUND(AM232*(O232/12),0)</f>
        <v>0</v>
      </c>
      <c r="AU232" s="248">
        <f>ROUND(AM232*(P232/12)*U232,0)</f>
        <v>0</v>
      </c>
      <c r="AW232" s="129">
        <f t="shared" si="68"/>
        <v>0</v>
      </c>
    </row>
    <row r="233" spans="1:49" x14ac:dyDescent="0.15">
      <c r="A233" s="157"/>
      <c r="B233" s="158"/>
      <c r="C233" s="158"/>
      <c r="D233" s="149" t="str">
        <f t="shared" si="53"/>
        <v xml:space="preserve"> </v>
      </c>
      <c r="E233" s="161"/>
      <c r="F233" s="261">
        <v>0</v>
      </c>
      <c r="G233" s="161">
        <v>37</v>
      </c>
      <c r="H233" s="161">
        <v>37</v>
      </c>
      <c r="I233" s="161"/>
      <c r="J233" s="163"/>
      <c r="K233" s="161"/>
      <c r="L233" s="163"/>
      <c r="M233" s="150"/>
      <c r="N233" s="150"/>
      <c r="O233" s="150"/>
      <c r="P233" s="150"/>
      <c r="Q233" s="151"/>
      <c r="R233" s="151"/>
      <c r="S233" s="152"/>
      <c r="V233" s="129">
        <f t="shared" si="60"/>
        <v>0</v>
      </c>
      <c r="W233" s="129">
        <f t="shared" si="61"/>
        <v>0</v>
      </c>
      <c r="X233" s="129">
        <f t="shared" si="52"/>
        <v>0</v>
      </c>
      <c r="Y233" s="129">
        <f t="shared" si="62"/>
        <v>65.337800000000001</v>
      </c>
      <c r="Z233" s="153">
        <f t="shared" si="54"/>
        <v>0</v>
      </c>
      <c r="AA233" s="248">
        <f t="shared" si="55"/>
        <v>0</v>
      </c>
      <c r="AB233" s="153">
        <f t="shared" si="63"/>
        <v>0</v>
      </c>
      <c r="AC233" s="248">
        <f t="shared" si="56"/>
        <v>0</v>
      </c>
      <c r="AD233" s="153">
        <f t="shared" si="57"/>
        <v>0</v>
      </c>
      <c r="AE233" s="248">
        <f t="shared" si="58"/>
        <v>0</v>
      </c>
      <c r="AF233" s="153">
        <f t="shared" si="64"/>
        <v>0</v>
      </c>
      <c r="AG233" s="248">
        <f t="shared" si="59"/>
        <v>0</v>
      </c>
      <c r="AH233" s="153">
        <f t="shared" si="65"/>
        <v>0</v>
      </c>
      <c r="AI233" s="153"/>
      <c r="AJ233" s="153">
        <f t="shared" si="66"/>
        <v>0</v>
      </c>
      <c r="AK233" s="153">
        <f t="shared" si="67"/>
        <v>0</v>
      </c>
      <c r="AL233" s="153"/>
      <c r="AM233" s="153"/>
      <c r="AN233" s="153"/>
      <c r="AQ233" s="153"/>
      <c r="AW233" s="129">
        <f t="shared" si="68"/>
        <v>0</v>
      </c>
    </row>
    <row r="234" spans="1:49" ht="9.75" thickBot="1" x14ac:dyDescent="0.2">
      <c r="A234" s="159"/>
      <c r="B234" s="160"/>
      <c r="C234" s="160"/>
      <c r="D234" s="154" t="str">
        <f t="shared" si="53"/>
        <v xml:space="preserve"> </v>
      </c>
      <c r="E234" s="162"/>
      <c r="F234" s="262">
        <v>0</v>
      </c>
      <c r="G234" s="162">
        <v>37</v>
      </c>
      <c r="H234" s="162">
        <v>37</v>
      </c>
      <c r="I234" s="162"/>
      <c r="J234" s="164"/>
      <c r="K234" s="162"/>
      <c r="L234" s="164"/>
      <c r="M234" s="164"/>
      <c r="N234" s="162"/>
      <c r="O234" s="162"/>
      <c r="P234" s="162"/>
      <c r="Q234" s="155">
        <f>AS234</f>
        <v>0</v>
      </c>
      <c r="R234" s="155">
        <f>AT234</f>
        <v>0</v>
      </c>
      <c r="S234" s="156">
        <f>AU234</f>
        <v>0</v>
      </c>
      <c r="U234" s="129">
        <f>IF(OR(C233=5,C234=5),0,1)</f>
        <v>1</v>
      </c>
      <c r="V234" s="129">
        <f t="shared" si="60"/>
        <v>0</v>
      </c>
      <c r="W234" s="129">
        <f t="shared" si="61"/>
        <v>0</v>
      </c>
      <c r="X234" s="129">
        <f t="shared" si="52"/>
        <v>0</v>
      </c>
      <c r="Y234" s="129">
        <f t="shared" si="62"/>
        <v>65.337800000000001</v>
      </c>
      <c r="Z234" s="153">
        <f t="shared" si="54"/>
        <v>0</v>
      </c>
      <c r="AA234" s="248">
        <f t="shared" si="55"/>
        <v>0</v>
      </c>
      <c r="AB234" s="153">
        <f t="shared" si="63"/>
        <v>0</v>
      </c>
      <c r="AC234" s="248">
        <f t="shared" si="56"/>
        <v>0</v>
      </c>
      <c r="AD234" s="153">
        <f t="shared" si="57"/>
        <v>0</v>
      </c>
      <c r="AE234" s="248">
        <f t="shared" si="58"/>
        <v>0</v>
      </c>
      <c r="AF234" s="153">
        <f t="shared" si="64"/>
        <v>0</v>
      </c>
      <c r="AG234" s="248">
        <f t="shared" si="59"/>
        <v>0</v>
      </c>
      <c r="AH234" s="153">
        <f t="shared" si="65"/>
        <v>0</v>
      </c>
      <c r="AI234" s="153"/>
      <c r="AJ234" s="153">
        <f t="shared" si="66"/>
        <v>0</v>
      </c>
      <c r="AK234" s="153">
        <f t="shared" si="67"/>
        <v>0</v>
      </c>
      <c r="AL234" s="153"/>
      <c r="AM234" s="153">
        <f>AK233*W233+AK234*W234</f>
        <v>0</v>
      </c>
      <c r="AN234" s="153">
        <f>(SUM(AD233:AG233)*W233+SUM(AD234:AG234)*W234)*12*VLOOKUP(C234,JNovergang,3,1)</f>
        <v>0</v>
      </c>
      <c r="AO234" s="153">
        <f>AM234-AN234</f>
        <v>0</v>
      </c>
      <c r="AP234" s="153">
        <f>M234*(100+X234)%</f>
        <v>0</v>
      </c>
      <c r="AQ234" s="248">
        <f>ROUND(M234*F234,2)</f>
        <v>0</v>
      </c>
      <c r="AS234" s="248">
        <f>ROUND((AP234+AQ234)+AM234*(N234/12),0)</f>
        <v>0</v>
      </c>
      <c r="AT234" s="248">
        <f>ROUND(AM234*(O234/12),0)</f>
        <v>0</v>
      </c>
      <c r="AU234" s="248">
        <f>ROUND(AM234*(P234/12)*U234,0)</f>
        <v>0</v>
      </c>
      <c r="AW234" s="129">
        <f t="shared" si="68"/>
        <v>0</v>
      </c>
    </row>
    <row r="235" spans="1:49" x14ac:dyDescent="0.15">
      <c r="A235" s="157"/>
      <c r="B235" s="158"/>
      <c r="C235" s="158"/>
      <c r="D235" s="149" t="str">
        <f t="shared" si="53"/>
        <v xml:space="preserve"> </v>
      </c>
      <c r="E235" s="161"/>
      <c r="F235" s="261">
        <v>0</v>
      </c>
      <c r="G235" s="161">
        <v>37</v>
      </c>
      <c r="H235" s="161">
        <v>37</v>
      </c>
      <c r="I235" s="161"/>
      <c r="J235" s="163"/>
      <c r="K235" s="161"/>
      <c r="L235" s="163"/>
      <c r="M235" s="150"/>
      <c r="N235" s="150"/>
      <c r="O235" s="150"/>
      <c r="P235" s="150"/>
      <c r="Q235" s="151"/>
      <c r="R235" s="151"/>
      <c r="S235" s="152"/>
      <c r="V235" s="129">
        <f t="shared" si="60"/>
        <v>0</v>
      </c>
      <c r="W235" s="129">
        <f t="shared" si="61"/>
        <v>0</v>
      </c>
      <c r="X235" s="129">
        <f t="shared" si="52"/>
        <v>0</v>
      </c>
      <c r="Y235" s="129">
        <f t="shared" si="62"/>
        <v>65.337800000000001</v>
      </c>
      <c r="Z235" s="153">
        <f t="shared" si="54"/>
        <v>0</v>
      </c>
      <c r="AA235" s="248">
        <f t="shared" si="55"/>
        <v>0</v>
      </c>
      <c r="AB235" s="153">
        <f t="shared" si="63"/>
        <v>0</v>
      </c>
      <c r="AC235" s="248">
        <f t="shared" si="56"/>
        <v>0</v>
      </c>
      <c r="AD235" s="153">
        <f t="shared" si="57"/>
        <v>0</v>
      </c>
      <c r="AE235" s="248">
        <f t="shared" si="58"/>
        <v>0</v>
      </c>
      <c r="AF235" s="153">
        <f t="shared" si="64"/>
        <v>0</v>
      </c>
      <c r="AG235" s="248">
        <f t="shared" si="59"/>
        <v>0</v>
      </c>
      <c r="AH235" s="153">
        <f t="shared" si="65"/>
        <v>0</v>
      </c>
      <c r="AI235" s="153"/>
      <c r="AJ235" s="153">
        <f t="shared" si="66"/>
        <v>0</v>
      </c>
      <c r="AK235" s="153">
        <f t="shared" si="67"/>
        <v>0</v>
      </c>
      <c r="AL235" s="153"/>
      <c r="AM235" s="153"/>
      <c r="AN235" s="153"/>
      <c r="AQ235" s="153"/>
      <c r="AW235" s="129">
        <f t="shared" si="68"/>
        <v>0</v>
      </c>
    </row>
    <row r="236" spans="1:49" ht="9.75" thickBot="1" x14ac:dyDescent="0.2">
      <c r="A236" s="159"/>
      <c r="B236" s="160"/>
      <c r="C236" s="160"/>
      <c r="D236" s="154" t="str">
        <f t="shared" si="53"/>
        <v xml:space="preserve"> </v>
      </c>
      <c r="E236" s="162"/>
      <c r="F236" s="262">
        <v>0</v>
      </c>
      <c r="G236" s="162">
        <v>37</v>
      </c>
      <c r="H236" s="162">
        <v>37</v>
      </c>
      <c r="I236" s="162"/>
      <c r="J236" s="164"/>
      <c r="K236" s="162"/>
      <c r="L236" s="164"/>
      <c r="M236" s="164"/>
      <c r="N236" s="162"/>
      <c r="O236" s="162"/>
      <c r="P236" s="162"/>
      <c r="Q236" s="155">
        <f>AS236</f>
        <v>0</v>
      </c>
      <c r="R236" s="155">
        <f>AT236</f>
        <v>0</v>
      </c>
      <c r="S236" s="156">
        <f>AU236</f>
        <v>0</v>
      </c>
      <c r="U236" s="129">
        <f>IF(OR(C235=5,C236=5),0,1)</f>
        <v>1</v>
      </c>
      <c r="V236" s="129">
        <f t="shared" si="60"/>
        <v>0</v>
      </c>
      <c r="W236" s="129">
        <f t="shared" si="61"/>
        <v>0</v>
      </c>
      <c r="X236" s="129">
        <f t="shared" si="52"/>
        <v>0</v>
      </c>
      <c r="Y236" s="129">
        <f t="shared" si="62"/>
        <v>65.337800000000001</v>
      </c>
      <c r="Z236" s="153">
        <f t="shared" si="54"/>
        <v>0</v>
      </c>
      <c r="AA236" s="248">
        <f t="shared" si="55"/>
        <v>0</v>
      </c>
      <c r="AB236" s="153">
        <f t="shared" si="63"/>
        <v>0</v>
      </c>
      <c r="AC236" s="248">
        <f t="shared" si="56"/>
        <v>0</v>
      </c>
      <c r="AD236" s="153">
        <f t="shared" si="57"/>
        <v>0</v>
      </c>
      <c r="AE236" s="248">
        <f t="shared" si="58"/>
        <v>0</v>
      </c>
      <c r="AF236" s="153">
        <f t="shared" si="64"/>
        <v>0</v>
      </c>
      <c r="AG236" s="248">
        <f t="shared" si="59"/>
        <v>0</v>
      </c>
      <c r="AH236" s="153">
        <f t="shared" si="65"/>
        <v>0</v>
      </c>
      <c r="AI236" s="153"/>
      <c r="AJ236" s="153">
        <f t="shared" si="66"/>
        <v>0</v>
      </c>
      <c r="AK236" s="153">
        <f t="shared" si="67"/>
        <v>0</v>
      </c>
      <c r="AL236" s="153"/>
      <c r="AM236" s="153">
        <f>AK235*W235+AK236*W236</f>
        <v>0</v>
      </c>
      <c r="AN236" s="153">
        <f>(SUM(AD235:AG235)*W235+SUM(AD236:AG236)*W236)*12*VLOOKUP(C236,JNovergang,3,1)</f>
        <v>0</v>
      </c>
      <c r="AO236" s="153">
        <f>AM236-AN236</f>
        <v>0</v>
      </c>
      <c r="AP236" s="153">
        <f>M236*(100+X236)%</f>
        <v>0</v>
      </c>
      <c r="AQ236" s="248">
        <f>ROUND(M236*F236,2)</f>
        <v>0</v>
      </c>
      <c r="AS236" s="248">
        <f>ROUND((AP236+AQ236)+AM236*(N236/12),0)</f>
        <v>0</v>
      </c>
      <c r="AT236" s="248">
        <f>ROUND(AM236*(O236/12),0)</f>
        <v>0</v>
      </c>
      <c r="AU236" s="248">
        <f>ROUND(AM236*(P236/12)*U236,0)</f>
        <v>0</v>
      </c>
      <c r="AW236" s="129">
        <f t="shared" si="68"/>
        <v>0</v>
      </c>
    </row>
    <row r="237" spans="1:49" x14ac:dyDescent="0.15">
      <c r="A237" s="157"/>
      <c r="B237" s="158"/>
      <c r="C237" s="158"/>
      <c r="D237" s="149" t="str">
        <f t="shared" si="53"/>
        <v xml:space="preserve"> </v>
      </c>
      <c r="E237" s="161"/>
      <c r="F237" s="261">
        <v>0</v>
      </c>
      <c r="G237" s="161">
        <v>37</v>
      </c>
      <c r="H237" s="161">
        <v>37</v>
      </c>
      <c r="I237" s="161"/>
      <c r="J237" s="163"/>
      <c r="K237" s="161"/>
      <c r="L237" s="163"/>
      <c r="M237" s="150"/>
      <c r="N237" s="150"/>
      <c r="O237" s="150"/>
      <c r="P237" s="150"/>
      <c r="Q237" s="151"/>
      <c r="R237" s="151"/>
      <c r="S237" s="152"/>
      <c r="V237" s="129">
        <f t="shared" si="60"/>
        <v>0</v>
      </c>
      <c r="W237" s="129">
        <f t="shared" si="61"/>
        <v>0</v>
      </c>
      <c r="X237" s="129">
        <f t="shared" si="52"/>
        <v>0</v>
      </c>
      <c r="Y237" s="129">
        <f t="shared" si="62"/>
        <v>65.337800000000001</v>
      </c>
      <c r="Z237" s="153">
        <f t="shared" si="54"/>
        <v>0</v>
      </c>
      <c r="AA237" s="248">
        <f t="shared" si="55"/>
        <v>0</v>
      </c>
      <c r="AB237" s="153">
        <f t="shared" si="63"/>
        <v>0</v>
      </c>
      <c r="AC237" s="248">
        <f t="shared" si="56"/>
        <v>0</v>
      </c>
      <c r="AD237" s="153">
        <f t="shared" si="57"/>
        <v>0</v>
      </c>
      <c r="AE237" s="248">
        <f t="shared" si="58"/>
        <v>0</v>
      </c>
      <c r="AF237" s="153">
        <f t="shared" si="64"/>
        <v>0</v>
      </c>
      <c r="AG237" s="248">
        <f t="shared" si="59"/>
        <v>0</v>
      </c>
      <c r="AH237" s="153">
        <f t="shared" si="65"/>
        <v>0</v>
      </c>
      <c r="AI237" s="153"/>
      <c r="AJ237" s="153">
        <f t="shared" si="66"/>
        <v>0</v>
      </c>
      <c r="AK237" s="153">
        <f t="shared" si="67"/>
        <v>0</v>
      </c>
      <c r="AL237" s="153"/>
      <c r="AM237" s="153"/>
      <c r="AN237" s="153"/>
      <c r="AQ237" s="153"/>
      <c r="AW237" s="129">
        <f t="shared" si="68"/>
        <v>0</v>
      </c>
    </row>
    <row r="238" spans="1:49" ht="9.75" thickBot="1" x14ac:dyDescent="0.2">
      <c r="A238" s="159"/>
      <c r="B238" s="160"/>
      <c r="C238" s="160"/>
      <c r="D238" s="154" t="str">
        <f t="shared" si="53"/>
        <v xml:space="preserve"> </v>
      </c>
      <c r="E238" s="162"/>
      <c r="F238" s="262">
        <v>0</v>
      </c>
      <c r="G238" s="162">
        <v>37</v>
      </c>
      <c r="H238" s="162">
        <v>37</v>
      </c>
      <c r="I238" s="162"/>
      <c r="J238" s="164"/>
      <c r="K238" s="162"/>
      <c r="L238" s="164"/>
      <c r="M238" s="164"/>
      <c r="N238" s="162"/>
      <c r="O238" s="162"/>
      <c r="P238" s="162"/>
      <c r="Q238" s="155">
        <f>AS238</f>
        <v>0</v>
      </c>
      <c r="R238" s="155">
        <f>AT238</f>
        <v>0</v>
      </c>
      <c r="S238" s="156">
        <f>AU238</f>
        <v>0</v>
      </c>
      <c r="U238" s="129">
        <f>IF(OR(C237=5,C238=5),0,1)</f>
        <v>1</v>
      </c>
      <c r="V238" s="129">
        <f t="shared" si="60"/>
        <v>0</v>
      </c>
      <c r="W238" s="129">
        <f t="shared" si="61"/>
        <v>0</v>
      </c>
      <c r="X238" s="129">
        <f t="shared" si="52"/>
        <v>0</v>
      </c>
      <c r="Y238" s="129">
        <f t="shared" si="62"/>
        <v>65.337800000000001</v>
      </c>
      <c r="Z238" s="153">
        <f t="shared" si="54"/>
        <v>0</v>
      </c>
      <c r="AA238" s="248">
        <f t="shared" si="55"/>
        <v>0</v>
      </c>
      <c r="AB238" s="153">
        <f t="shared" si="63"/>
        <v>0</v>
      </c>
      <c r="AC238" s="248">
        <f t="shared" si="56"/>
        <v>0</v>
      </c>
      <c r="AD238" s="153">
        <f t="shared" si="57"/>
        <v>0</v>
      </c>
      <c r="AE238" s="248">
        <f t="shared" si="58"/>
        <v>0</v>
      </c>
      <c r="AF238" s="153">
        <f t="shared" si="64"/>
        <v>0</v>
      </c>
      <c r="AG238" s="248">
        <f t="shared" si="59"/>
        <v>0</v>
      </c>
      <c r="AH238" s="153">
        <f t="shared" si="65"/>
        <v>0</v>
      </c>
      <c r="AI238" s="153"/>
      <c r="AJ238" s="153">
        <f t="shared" si="66"/>
        <v>0</v>
      </c>
      <c r="AK238" s="153">
        <f t="shared" si="67"/>
        <v>0</v>
      </c>
      <c r="AL238" s="153"/>
      <c r="AM238" s="153">
        <f>AK237*W237+AK238*W238</f>
        <v>0</v>
      </c>
      <c r="AN238" s="153">
        <f>(SUM(AD237:AG237)*W237+SUM(AD238:AG238)*W238)*12*VLOOKUP(C238,JNovergang,3,1)</f>
        <v>0</v>
      </c>
      <c r="AO238" s="153">
        <f>AM238-AN238</f>
        <v>0</v>
      </c>
      <c r="AP238" s="153">
        <f>M238*(100+X238)%</f>
        <v>0</v>
      </c>
      <c r="AQ238" s="248">
        <f>ROUND(M238*F238,2)</f>
        <v>0</v>
      </c>
      <c r="AS238" s="248">
        <f>ROUND((AP238+AQ238)+AM238*(N238/12),0)</f>
        <v>0</v>
      </c>
      <c r="AT238" s="248">
        <f>ROUND(AM238*(O238/12),0)</f>
        <v>0</v>
      </c>
      <c r="AU238" s="248">
        <f>ROUND(AM238*(P238/12)*U238,0)</f>
        <v>0</v>
      </c>
      <c r="AW238" s="129">
        <f t="shared" si="68"/>
        <v>0</v>
      </c>
    </row>
    <row r="239" spans="1:49" x14ac:dyDescent="0.15">
      <c r="A239" s="157"/>
      <c r="B239" s="158"/>
      <c r="C239" s="158"/>
      <c r="D239" s="149" t="str">
        <f t="shared" si="53"/>
        <v xml:space="preserve"> </v>
      </c>
      <c r="E239" s="161"/>
      <c r="F239" s="261">
        <v>0</v>
      </c>
      <c r="G239" s="161">
        <v>37</v>
      </c>
      <c r="H239" s="161">
        <v>37</v>
      </c>
      <c r="I239" s="161"/>
      <c r="J239" s="163"/>
      <c r="K239" s="161"/>
      <c r="L239" s="163"/>
      <c r="M239" s="150"/>
      <c r="N239" s="150"/>
      <c r="O239" s="150"/>
      <c r="P239" s="150"/>
      <c r="Q239" s="151"/>
      <c r="R239" s="151"/>
      <c r="S239" s="152"/>
      <c r="V239" s="129">
        <f t="shared" si="60"/>
        <v>0</v>
      </c>
      <c r="W239" s="129">
        <f t="shared" si="61"/>
        <v>0</v>
      </c>
      <c r="X239" s="129">
        <f t="shared" si="52"/>
        <v>0</v>
      </c>
      <c r="Y239" s="129">
        <f t="shared" si="62"/>
        <v>65.337800000000001</v>
      </c>
      <c r="Z239" s="153">
        <f t="shared" si="54"/>
        <v>0</v>
      </c>
      <c r="AA239" s="248">
        <f t="shared" si="55"/>
        <v>0</v>
      </c>
      <c r="AB239" s="153">
        <f t="shared" si="63"/>
        <v>0</v>
      </c>
      <c r="AC239" s="248">
        <f t="shared" si="56"/>
        <v>0</v>
      </c>
      <c r="AD239" s="153">
        <f t="shared" si="57"/>
        <v>0</v>
      </c>
      <c r="AE239" s="248">
        <f t="shared" si="58"/>
        <v>0</v>
      </c>
      <c r="AF239" s="153">
        <f t="shared" si="64"/>
        <v>0</v>
      </c>
      <c r="AG239" s="248">
        <f t="shared" si="59"/>
        <v>0</v>
      </c>
      <c r="AH239" s="153">
        <f t="shared" si="65"/>
        <v>0</v>
      </c>
      <c r="AI239" s="153"/>
      <c r="AJ239" s="153">
        <f t="shared" si="66"/>
        <v>0</v>
      </c>
      <c r="AK239" s="153">
        <f t="shared" si="67"/>
        <v>0</v>
      </c>
      <c r="AL239" s="153"/>
      <c r="AM239" s="153"/>
      <c r="AN239" s="153"/>
      <c r="AQ239" s="153"/>
      <c r="AW239" s="129">
        <f t="shared" si="68"/>
        <v>0</v>
      </c>
    </row>
    <row r="240" spans="1:49" ht="9.75" thickBot="1" x14ac:dyDescent="0.2">
      <c r="A240" s="159"/>
      <c r="B240" s="160"/>
      <c r="C240" s="160"/>
      <c r="D240" s="154" t="str">
        <f t="shared" si="53"/>
        <v xml:space="preserve"> </v>
      </c>
      <c r="E240" s="162"/>
      <c r="F240" s="262">
        <v>0</v>
      </c>
      <c r="G240" s="162">
        <v>37</v>
      </c>
      <c r="H240" s="162">
        <v>37</v>
      </c>
      <c r="I240" s="162"/>
      <c r="J240" s="164"/>
      <c r="K240" s="162"/>
      <c r="L240" s="164"/>
      <c r="M240" s="164"/>
      <c r="N240" s="162"/>
      <c r="O240" s="162"/>
      <c r="P240" s="162"/>
      <c r="Q240" s="155">
        <f>AS240</f>
        <v>0</v>
      </c>
      <c r="R240" s="155">
        <f>AT240</f>
        <v>0</v>
      </c>
      <c r="S240" s="156">
        <f>AU240</f>
        <v>0</v>
      </c>
      <c r="U240" s="129">
        <f>IF(OR(C239=5,C240=5),0,1)</f>
        <v>1</v>
      </c>
      <c r="V240" s="129">
        <f t="shared" si="60"/>
        <v>0</v>
      </c>
      <c r="W240" s="129">
        <f t="shared" si="61"/>
        <v>0</v>
      </c>
      <c r="X240" s="129">
        <f t="shared" si="52"/>
        <v>0</v>
      </c>
      <c r="Y240" s="129">
        <f t="shared" si="62"/>
        <v>65.337800000000001</v>
      </c>
      <c r="Z240" s="153">
        <f t="shared" si="54"/>
        <v>0</v>
      </c>
      <c r="AA240" s="248">
        <f t="shared" si="55"/>
        <v>0</v>
      </c>
      <c r="AB240" s="153">
        <f t="shared" si="63"/>
        <v>0</v>
      </c>
      <c r="AC240" s="248">
        <f t="shared" si="56"/>
        <v>0</v>
      </c>
      <c r="AD240" s="153">
        <f t="shared" si="57"/>
        <v>0</v>
      </c>
      <c r="AE240" s="248">
        <f t="shared" si="58"/>
        <v>0</v>
      </c>
      <c r="AF240" s="153">
        <f t="shared" si="64"/>
        <v>0</v>
      </c>
      <c r="AG240" s="248">
        <f t="shared" si="59"/>
        <v>0</v>
      </c>
      <c r="AH240" s="153">
        <f t="shared" si="65"/>
        <v>0</v>
      </c>
      <c r="AI240" s="153"/>
      <c r="AJ240" s="153">
        <f t="shared" si="66"/>
        <v>0</v>
      </c>
      <c r="AK240" s="153">
        <f t="shared" si="67"/>
        <v>0</v>
      </c>
      <c r="AL240" s="153"/>
      <c r="AM240" s="153">
        <f>AK239*W239+AK240*W240</f>
        <v>0</v>
      </c>
      <c r="AN240" s="153">
        <f>(SUM(AD239:AG239)*W239+SUM(AD240:AG240)*W240)*12*VLOOKUP(C240,JNovergang,3,1)</f>
        <v>0</v>
      </c>
      <c r="AO240" s="153">
        <f>AM240-AN240</f>
        <v>0</v>
      </c>
      <c r="AP240" s="153">
        <f>M240*(100+X240)%</f>
        <v>0</v>
      </c>
      <c r="AQ240" s="248">
        <f>ROUND(M240*F240,2)</f>
        <v>0</v>
      </c>
      <c r="AS240" s="248">
        <f>ROUND((AP240+AQ240)+AM240*(N240/12),0)</f>
        <v>0</v>
      </c>
      <c r="AT240" s="248">
        <f>ROUND(AM240*(O240/12),0)</f>
        <v>0</v>
      </c>
      <c r="AU240" s="248">
        <f>ROUND(AM240*(P240/12)*U240,0)</f>
        <v>0</v>
      </c>
      <c r="AW240" s="129">
        <f t="shared" si="68"/>
        <v>0</v>
      </c>
    </row>
    <row r="241" spans="1:49" x14ac:dyDescent="0.15">
      <c r="A241" s="157"/>
      <c r="B241" s="158"/>
      <c r="C241" s="158"/>
      <c r="D241" s="149" t="str">
        <f t="shared" si="53"/>
        <v xml:space="preserve"> </v>
      </c>
      <c r="E241" s="161"/>
      <c r="F241" s="261">
        <v>0</v>
      </c>
      <c r="G241" s="161">
        <v>37</v>
      </c>
      <c r="H241" s="161">
        <v>37</v>
      </c>
      <c r="I241" s="161"/>
      <c r="J241" s="163"/>
      <c r="K241" s="161"/>
      <c r="L241" s="163"/>
      <c r="M241" s="150"/>
      <c r="N241" s="150"/>
      <c r="O241" s="150"/>
      <c r="P241" s="150"/>
      <c r="Q241" s="151"/>
      <c r="R241" s="151"/>
      <c r="S241" s="152"/>
      <c r="V241" s="129">
        <f t="shared" si="60"/>
        <v>0</v>
      </c>
      <c r="W241" s="129">
        <f t="shared" si="61"/>
        <v>0</v>
      </c>
      <c r="X241" s="129">
        <f t="shared" si="52"/>
        <v>0</v>
      </c>
      <c r="Y241" s="129">
        <f t="shared" si="62"/>
        <v>65.337800000000001</v>
      </c>
      <c r="Z241" s="153">
        <f t="shared" si="54"/>
        <v>0</v>
      </c>
      <c r="AA241" s="248">
        <f t="shared" si="55"/>
        <v>0</v>
      </c>
      <c r="AB241" s="153">
        <f t="shared" si="63"/>
        <v>0</v>
      </c>
      <c r="AC241" s="248">
        <f t="shared" si="56"/>
        <v>0</v>
      </c>
      <c r="AD241" s="153">
        <f t="shared" si="57"/>
        <v>0</v>
      </c>
      <c r="AE241" s="248">
        <f t="shared" si="58"/>
        <v>0</v>
      </c>
      <c r="AF241" s="153">
        <f t="shared" si="64"/>
        <v>0</v>
      </c>
      <c r="AG241" s="248">
        <f t="shared" si="59"/>
        <v>0</v>
      </c>
      <c r="AH241" s="153">
        <f t="shared" si="65"/>
        <v>0</v>
      </c>
      <c r="AI241" s="153"/>
      <c r="AJ241" s="153">
        <f t="shared" si="66"/>
        <v>0</v>
      </c>
      <c r="AK241" s="153">
        <f t="shared" si="67"/>
        <v>0</v>
      </c>
      <c r="AL241" s="153"/>
      <c r="AM241" s="153"/>
      <c r="AN241" s="153"/>
      <c r="AQ241" s="153"/>
      <c r="AW241" s="129">
        <f t="shared" si="68"/>
        <v>0</v>
      </c>
    </row>
    <row r="242" spans="1:49" ht="9.75" thickBot="1" x14ac:dyDescent="0.2">
      <c r="A242" s="159"/>
      <c r="B242" s="160"/>
      <c r="C242" s="160"/>
      <c r="D242" s="154" t="str">
        <f t="shared" si="53"/>
        <v xml:space="preserve"> </v>
      </c>
      <c r="E242" s="162"/>
      <c r="F242" s="262">
        <v>0</v>
      </c>
      <c r="G242" s="162">
        <v>37</v>
      </c>
      <c r="H242" s="162">
        <v>37</v>
      </c>
      <c r="I242" s="162"/>
      <c r="J242" s="164"/>
      <c r="K242" s="162"/>
      <c r="L242" s="164"/>
      <c r="M242" s="164"/>
      <c r="N242" s="162"/>
      <c r="O242" s="162"/>
      <c r="P242" s="162"/>
      <c r="Q242" s="155">
        <f>AS242</f>
        <v>0</v>
      </c>
      <c r="R242" s="155">
        <f>AT242</f>
        <v>0</v>
      </c>
      <c r="S242" s="156">
        <f>AU242</f>
        <v>0</v>
      </c>
      <c r="U242" s="129">
        <f>IF(OR(C241=5,C242=5),0,1)</f>
        <v>1</v>
      </c>
      <c r="V242" s="129">
        <f t="shared" si="60"/>
        <v>0</v>
      </c>
      <c r="W242" s="129">
        <f t="shared" si="61"/>
        <v>0</v>
      </c>
      <c r="X242" s="129">
        <f t="shared" si="52"/>
        <v>0</v>
      </c>
      <c r="Y242" s="129">
        <f t="shared" si="62"/>
        <v>65.337800000000001</v>
      </c>
      <c r="Z242" s="153">
        <f t="shared" si="54"/>
        <v>0</v>
      </c>
      <c r="AA242" s="248">
        <f t="shared" si="55"/>
        <v>0</v>
      </c>
      <c r="AB242" s="153">
        <f t="shared" si="63"/>
        <v>0</v>
      </c>
      <c r="AC242" s="248">
        <f t="shared" si="56"/>
        <v>0</v>
      </c>
      <c r="AD242" s="153">
        <f t="shared" si="57"/>
        <v>0</v>
      </c>
      <c r="AE242" s="248">
        <f t="shared" si="58"/>
        <v>0</v>
      </c>
      <c r="AF242" s="153">
        <f t="shared" si="64"/>
        <v>0</v>
      </c>
      <c r="AG242" s="248">
        <f t="shared" si="59"/>
        <v>0</v>
      </c>
      <c r="AH242" s="153">
        <f t="shared" si="65"/>
        <v>0</v>
      </c>
      <c r="AI242" s="153"/>
      <c r="AJ242" s="153">
        <f t="shared" si="66"/>
        <v>0</v>
      </c>
      <c r="AK242" s="153">
        <f t="shared" si="67"/>
        <v>0</v>
      </c>
      <c r="AL242" s="153"/>
      <c r="AM242" s="153">
        <f>AK241*W241+AK242*W242</f>
        <v>0</v>
      </c>
      <c r="AN242" s="153">
        <f>(SUM(AD241:AG241)*W241+SUM(AD242:AG242)*W242)*12*VLOOKUP(C242,JNovergang,3,1)</f>
        <v>0</v>
      </c>
      <c r="AO242" s="153">
        <f>AM242-AN242</f>
        <v>0</v>
      </c>
      <c r="AP242" s="153">
        <f>M242*(100+X242)%</f>
        <v>0</v>
      </c>
      <c r="AQ242" s="248">
        <f>ROUND(M242*F242,2)</f>
        <v>0</v>
      </c>
      <c r="AS242" s="248">
        <f>ROUND((AP242+AQ242)+AM242*(N242/12),0)</f>
        <v>0</v>
      </c>
      <c r="AT242" s="248">
        <f>ROUND(AM242*(O242/12),0)</f>
        <v>0</v>
      </c>
      <c r="AU242" s="248">
        <f>ROUND(AM242*(P242/12)*U242,0)</f>
        <v>0</v>
      </c>
      <c r="AW242" s="129">
        <f t="shared" si="68"/>
        <v>0</v>
      </c>
    </row>
    <row r="243" spans="1:49" x14ac:dyDescent="0.15">
      <c r="A243" s="157"/>
      <c r="B243" s="158"/>
      <c r="C243" s="158"/>
      <c r="D243" s="149" t="str">
        <f t="shared" si="53"/>
        <v xml:space="preserve"> </v>
      </c>
      <c r="E243" s="161"/>
      <c r="F243" s="261">
        <v>0</v>
      </c>
      <c r="G243" s="161">
        <v>37</v>
      </c>
      <c r="H243" s="161">
        <v>37</v>
      </c>
      <c r="I243" s="161"/>
      <c r="J243" s="163"/>
      <c r="K243" s="161"/>
      <c r="L243" s="163"/>
      <c r="M243" s="150"/>
      <c r="N243" s="150"/>
      <c r="O243" s="150"/>
      <c r="P243" s="150"/>
      <c r="Q243" s="151"/>
      <c r="R243" s="151"/>
      <c r="S243" s="152"/>
      <c r="V243" s="129">
        <f t="shared" si="60"/>
        <v>0</v>
      </c>
      <c r="W243" s="129">
        <f t="shared" si="61"/>
        <v>0</v>
      </c>
      <c r="X243" s="129">
        <f t="shared" ref="X243:X306" si="69">VLOOKUP(C243,JNferiepenge,3,1)</f>
        <v>0</v>
      </c>
      <c r="Y243" s="129">
        <f t="shared" si="62"/>
        <v>65.337800000000001</v>
      </c>
      <c r="Z243" s="153">
        <f t="shared" si="54"/>
        <v>0</v>
      </c>
      <c r="AA243" s="248">
        <f t="shared" si="55"/>
        <v>0</v>
      </c>
      <c r="AB243" s="153">
        <f t="shared" si="63"/>
        <v>0</v>
      </c>
      <c r="AC243" s="248">
        <f t="shared" si="56"/>
        <v>0</v>
      </c>
      <c r="AD243" s="153">
        <f t="shared" si="57"/>
        <v>0</v>
      </c>
      <c r="AE243" s="248">
        <f t="shared" si="58"/>
        <v>0</v>
      </c>
      <c r="AF243" s="153">
        <f t="shared" si="64"/>
        <v>0</v>
      </c>
      <c r="AG243" s="248">
        <f t="shared" si="59"/>
        <v>0</v>
      </c>
      <c r="AH243" s="153">
        <f t="shared" si="65"/>
        <v>0</v>
      </c>
      <c r="AI243" s="153"/>
      <c r="AJ243" s="153">
        <f t="shared" si="66"/>
        <v>0</v>
      </c>
      <c r="AK243" s="153">
        <f t="shared" si="67"/>
        <v>0</v>
      </c>
      <c r="AL243" s="153"/>
      <c r="AM243" s="153"/>
      <c r="AN243" s="153"/>
      <c r="AQ243" s="153"/>
      <c r="AW243" s="129">
        <f t="shared" si="68"/>
        <v>0</v>
      </c>
    </row>
    <row r="244" spans="1:49" ht="9.75" thickBot="1" x14ac:dyDescent="0.2">
      <c r="A244" s="159"/>
      <c r="B244" s="160"/>
      <c r="C244" s="160"/>
      <c r="D244" s="154" t="str">
        <f t="shared" si="53"/>
        <v xml:space="preserve"> </v>
      </c>
      <c r="E244" s="162"/>
      <c r="F244" s="262">
        <v>0</v>
      </c>
      <c r="G244" s="162">
        <v>37</v>
      </c>
      <c r="H244" s="162">
        <v>37</v>
      </c>
      <c r="I244" s="162"/>
      <c r="J244" s="164"/>
      <c r="K244" s="162"/>
      <c r="L244" s="164"/>
      <c r="M244" s="164"/>
      <c r="N244" s="162"/>
      <c r="O244" s="162"/>
      <c r="P244" s="162"/>
      <c r="Q244" s="155">
        <f>AS244</f>
        <v>0</v>
      </c>
      <c r="R244" s="155">
        <f>AT244</f>
        <v>0</v>
      </c>
      <c r="S244" s="156">
        <f>AU244</f>
        <v>0</v>
      </c>
      <c r="U244" s="129">
        <f>IF(OR(C243=5,C244=5),0,1)</f>
        <v>1</v>
      </c>
      <c r="V244" s="129">
        <f t="shared" si="60"/>
        <v>0</v>
      </c>
      <c r="W244" s="129">
        <f t="shared" si="61"/>
        <v>0</v>
      </c>
      <c r="X244" s="129">
        <f t="shared" si="69"/>
        <v>0</v>
      </c>
      <c r="Y244" s="129">
        <f t="shared" si="62"/>
        <v>65.337800000000001</v>
      </c>
      <c r="Z244" s="153">
        <f t="shared" si="54"/>
        <v>0</v>
      </c>
      <c r="AA244" s="248">
        <f t="shared" si="55"/>
        <v>0</v>
      </c>
      <c r="AB244" s="153">
        <f t="shared" si="63"/>
        <v>0</v>
      </c>
      <c r="AC244" s="248">
        <f t="shared" si="56"/>
        <v>0</v>
      </c>
      <c r="AD244" s="153">
        <f t="shared" si="57"/>
        <v>0</v>
      </c>
      <c r="AE244" s="248">
        <f t="shared" si="58"/>
        <v>0</v>
      </c>
      <c r="AF244" s="153">
        <f t="shared" si="64"/>
        <v>0</v>
      </c>
      <c r="AG244" s="248">
        <f t="shared" si="59"/>
        <v>0</v>
      </c>
      <c r="AH244" s="153">
        <f t="shared" si="65"/>
        <v>0</v>
      </c>
      <c r="AI244" s="153"/>
      <c r="AJ244" s="153">
        <f t="shared" si="66"/>
        <v>0</v>
      </c>
      <c r="AK244" s="153">
        <f t="shared" si="67"/>
        <v>0</v>
      </c>
      <c r="AL244" s="153"/>
      <c r="AM244" s="153">
        <f>AK243*W243+AK244*W244</f>
        <v>0</v>
      </c>
      <c r="AN244" s="153">
        <f>(SUM(AD243:AG243)*W243+SUM(AD244:AG244)*W244)*12*VLOOKUP(C244,JNovergang,3,1)</f>
        <v>0</v>
      </c>
      <c r="AO244" s="153">
        <f>AM244-AN244</f>
        <v>0</v>
      </c>
      <c r="AP244" s="153">
        <f>M244*(100+X244)%</f>
        <v>0</v>
      </c>
      <c r="AQ244" s="248">
        <f>ROUND(M244*F244,2)</f>
        <v>0</v>
      </c>
      <c r="AS244" s="248">
        <f>ROUND((AP244+AQ244)+AM244*(N244/12),0)</f>
        <v>0</v>
      </c>
      <c r="AT244" s="248">
        <f>ROUND(AM244*(O244/12),0)</f>
        <v>0</v>
      </c>
      <c r="AU244" s="248">
        <f>ROUND(AM244*(P244/12)*U244,0)</f>
        <v>0</v>
      </c>
      <c r="AW244" s="129">
        <f t="shared" si="68"/>
        <v>0</v>
      </c>
    </row>
    <row r="245" spans="1:49" x14ac:dyDescent="0.15">
      <c r="A245" s="157"/>
      <c r="B245" s="158"/>
      <c r="C245" s="158"/>
      <c r="D245" s="149" t="str">
        <f t="shared" si="53"/>
        <v xml:space="preserve"> </v>
      </c>
      <c r="E245" s="161"/>
      <c r="F245" s="261">
        <v>0</v>
      </c>
      <c r="G245" s="161">
        <v>37</v>
      </c>
      <c r="H245" s="161">
        <v>37</v>
      </c>
      <c r="I245" s="161"/>
      <c r="J245" s="163"/>
      <c r="K245" s="161"/>
      <c r="L245" s="163"/>
      <c r="M245" s="150"/>
      <c r="N245" s="150"/>
      <c r="O245" s="150"/>
      <c r="P245" s="150"/>
      <c r="Q245" s="151"/>
      <c r="R245" s="151"/>
      <c r="S245" s="152"/>
      <c r="V245" s="129">
        <f t="shared" si="60"/>
        <v>0</v>
      </c>
      <c r="W245" s="129">
        <f t="shared" si="61"/>
        <v>0</v>
      </c>
      <c r="X245" s="129">
        <f t="shared" si="69"/>
        <v>0</v>
      </c>
      <c r="Y245" s="129">
        <f t="shared" si="62"/>
        <v>65.337800000000001</v>
      </c>
      <c r="Z245" s="153">
        <f t="shared" si="54"/>
        <v>0</v>
      </c>
      <c r="AA245" s="248">
        <f t="shared" si="55"/>
        <v>0</v>
      </c>
      <c r="AB245" s="153">
        <f t="shared" si="63"/>
        <v>0</v>
      </c>
      <c r="AC245" s="248">
        <f t="shared" si="56"/>
        <v>0</v>
      </c>
      <c r="AD245" s="153">
        <f t="shared" si="57"/>
        <v>0</v>
      </c>
      <c r="AE245" s="248">
        <f t="shared" si="58"/>
        <v>0</v>
      </c>
      <c r="AF245" s="153">
        <f t="shared" si="64"/>
        <v>0</v>
      </c>
      <c r="AG245" s="248">
        <f t="shared" si="59"/>
        <v>0</v>
      </c>
      <c r="AH245" s="153">
        <f t="shared" si="65"/>
        <v>0</v>
      </c>
      <c r="AI245" s="153"/>
      <c r="AJ245" s="153">
        <f t="shared" si="66"/>
        <v>0</v>
      </c>
      <c r="AK245" s="153">
        <f t="shared" si="67"/>
        <v>0</v>
      </c>
      <c r="AL245" s="153"/>
      <c r="AM245" s="153"/>
      <c r="AN245" s="153"/>
      <c r="AQ245" s="153"/>
      <c r="AW245" s="129">
        <f t="shared" si="68"/>
        <v>0</v>
      </c>
    </row>
    <row r="246" spans="1:49" ht="9.75" thickBot="1" x14ac:dyDescent="0.2">
      <c r="A246" s="159"/>
      <c r="B246" s="160"/>
      <c r="C246" s="160"/>
      <c r="D246" s="154" t="str">
        <f t="shared" si="53"/>
        <v xml:space="preserve"> </v>
      </c>
      <c r="E246" s="162"/>
      <c r="F246" s="262">
        <v>0</v>
      </c>
      <c r="G246" s="162">
        <v>37</v>
      </c>
      <c r="H246" s="162">
        <v>37</v>
      </c>
      <c r="I246" s="162"/>
      <c r="J246" s="164"/>
      <c r="K246" s="162"/>
      <c r="L246" s="164"/>
      <c r="M246" s="164"/>
      <c r="N246" s="162"/>
      <c r="O246" s="162"/>
      <c r="P246" s="162"/>
      <c r="Q246" s="155">
        <f>AS246</f>
        <v>0</v>
      </c>
      <c r="R246" s="155">
        <f>AT246</f>
        <v>0</v>
      </c>
      <c r="S246" s="156">
        <f>AU246</f>
        <v>0</v>
      </c>
      <c r="U246" s="129">
        <f>IF(OR(C245=5,C246=5),0,1)</f>
        <v>1</v>
      </c>
      <c r="V246" s="129">
        <f t="shared" si="60"/>
        <v>0</v>
      </c>
      <c r="W246" s="129">
        <f t="shared" si="61"/>
        <v>0</v>
      </c>
      <c r="X246" s="129">
        <f t="shared" si="69"/>
        <v>0</v>
      </c>
      <c r="Y246" s="129">
        <f t="shared" si="62"/>
        <v>65.337800000000001</v>
      </c>
      <c r="Z246" s="153">
        <f t="shared" si="54"/>
        <v>0</v>
      </c>
      <c r="AA246" s="248">
        <f t="shared" si="55"/>
        <v>0</v>
      </c>
      <c r="AB246" s="153">
        <f t="shared" si="63"/>
        <v>0</v>
      </c>
      <c r="AC246" s="248">
        <f t="shared" si="56"/>
        <v>0</v>
      </c>
      <c r="AD246" s="153">
        <f t="shared" si="57"/>
        <v>0</v>
      </c>
      <c r="AE246" s="248">
        <f t="shared" si="58"/>
        <v>0</v>
      </c>
      <c r="AF246" s="153">
        <f t="shared" si="64"/>
        <v>0</v>
      </c>
      <c r="AG246" s="248">
        <f t="shared" si="59"/>
        <v>0</v>
      </c>
      <c r="AH246" s="153">
        <f t="shared" si="65"/>
        <v>0</v>
      </c>
      <c r="AI246" s="153"/>
      <c r="AJ246" s="153">
        <f t="shared" si="66"/>
        <v>0</v>
      </c>
      <c r="AK246" s="153">
        <f t="shared" si="67"/>
        <v>0</v>
      </c>
      <c r="AL246" s="153"/>
      <c r="AM246" s="153">
        <f>AK245*W245+AK246*W246</f>
        <v>0</v>
      </c>
      <c r="AN246" s="153">
        <f>(SUM(AD245:AG245)*W245+SUM(AD246:AG246)*W246)*12*VLOOKUP(C246,JNovergang,3,1)</f>
        <v>0</v>
      </c>
      <c r="AO246" s="153">
        <f>AM246-AN246</f>
        <v>0</v>
      </c>
      <c r="AP246" s="153">
        <f>M246*(100+X246)%</f>
        <v>0</v>
      </c>
      <c r="AQ246" s="248">
        <f>ROUND(M246*F246,2)</f>
        <v>0</v>
      </c>
      <c r="AS246" s="248">
        <f>ROUND((AP246+AQ246)+AM246*(N246/12),0)</f>
        <v>0</v>
      </c>
      <c r="AT246" s="248">
        <f>ROUND(AM246*(O246/12),0)</f>
        <v>0</v>
      </c>
      <c r="AU246" s="248">
        <f>ROUND(AM246*(P246/12)*U246,0)</f>
        <v>0</v>
      </c>
      <c r="AW246" s="129">
        <f t="shared" si="68"/>
        <v>0</v>
      </c>
    </row>
    <row r="247" spans="1:49" x14ac:dyDescent="0.15">
      <c r="A247" s="157"/>
      <c r="B247" s="158"/>
      <c r="C247" s="158"/>
      <c r="D247" s="149" t="str">
        <f t="shared" si="53"/>
        <v xml:space="preserve"> </v>
      </c>
      <c r="E247" s="161"/>
      <c r="F247" s="261">
        <v>0</v>
      </c>
      <c r="G247" s="161">
        <v>37</v>
      </c>
      <c r="H247" s="161">
        <v>37</v>
      </c>
      <c r="I247" s="161"/>
      <c r="J247" s="163"/>
      <c r="K247" s="161"/>
      <c r="L247" s="163"/>
      <c r="M247" s="150"/>
      <c r="N247" s="150"/>
      <c r="O247" s="150"/>
      <c r="P247" s="150"/>
      <c r="Q247" s="151"/>
      <c r="R247" s="151"/>
      <c r="S247" s="152"/>
      <c r="V247" s="129">
        <f t="shared" si="60"/>
        <v>0</v>
      </c>
      <c r="W247" s="129">
        <f t="shared" si="61"/>
        <v>0</v>
      </c>
      <c r="X247" s="129">
        <f t="shared" si="69"/>
        <v>0</v>
      </c>
      <c r="Y247" s="129">
        <f t="shared" si="62"/>
        <v>65.337800000000001</v>
      </c>
      <c r="Z247" s="153">
        <f t="shared" si="54"/>
        <v>0</v>
      </c>
      <c r="AA247" s="248">
        <f t="shared" si="55"/>
        <v>0</v>
      </c>
      <c r="AB247" s="153">
        <f t="shared" si="63"/>
        <v>0</v>
      </c>
      <c r="AC247" s="248">
        <f t="shared" si="56"/>
        <v>0</v>
      </c>
      <c r="AD247" s="153">
        <f t="shared" si="57"/>
        <v>0</v>
      </c>
      <c r="AE247" s="248">
        <f t="shared" si="58"/>
        <v>0</v>
      </c>
      <c r="AF247" s="153">
        <f t="shared" si="64"/>
        <v>0</v>
      </c>
      <c r="AG247" s="248">
        <f t="shared" si="59"/>
        <v>0</v>
      </c>
      <c r="AH247" s="153">
        <f t="shared" si="65"/>
        <v>0</v>
      </c>
      <c r="AI247" s="153"/>
      <c r="AJ247" s="153">
        <f t="shared" si="66"/>
        <v>0</v>
      </c>
      <c r="AK247" s="153">
        <f t="shared" si="67"/>
        <v>0</v>
      </c>
      <c r="AL247" s="153"/>
      <c r="AM247" s="153"/>
      <c r="AN247" s="153"/>
      <c r="AQ247" s="153"/>
      <c r="AW247" s="129">
        <f t="shared" si="68"/>
        <v>0</v>
      </c>
    </row>
    <row r="248" spans="1:49" ht="9.75" thickBot="1" x14ac:dyDescent="0.2">
      <c r="A248" s="159"/>
      <c r="B248" s="160"/>
      <c r="C248" s="160"/>
      <c r="D248" s="154" t="str">
        <f t="shared" si="53"/>
        <v xml:space="preserve"> </v>
      </c>
      <c r="E248" s="162"/>
      <c r="F248" s="262">
        <v>0</v>
      </c>
      <c r="G248" s="162">
        <v>37</v>
      </c>
      <c r="H248" s="162">
        <v>37</v>
      </c>
      <c r="I248" s="162"/>
      <c r="J248" s="164"/>
      <c r="K248" s="162"/>
      <c r="L248" s="164"/>
      <c r="M248" s="164"/>
      <c r="N248" s="162"/>
      <c r="O248" s="162"/>
      <c r="P248" s="162"/>
      <c r="Q248" s="155">
        <f>AS248</f>
        <v>0</v>
      </c>
      <c r="R248" s="155">
        <f>AT248</f>
        <v>0</v>
      </c>
      <c r="S248" s="156">
        <f>AU248</f>
        <v>0</v>
      </c>
      <c r="U248" s="129">
        <f>IF(OR(C247=5,C248=5),0,1)</f>
        <v>1</v>
      </c>
      <c r="V248" s="129">
        <f t="shared" si="60"/>
        <v>0</v>
      </c>
      <c r="W248" s="129">
        <f t="shared" si="61"/>
        <v>0</v>
      </c>
      <c r="X248" s="129">
        <f t="shared" si="69"/>
        <v>0</v>
      </c>
      <c r="Y248" s="129">
        <f t="shared" si="62"/>
        <v>65.337800000000001</v>
      </c>
      <c r="Z248" s="153">
        <f t="shared" si="54"/>
        <v>0</v>
      </c>
      <c r="AA248" s="248">
        <f t="shared" si="55"/>
        <v>0</v>
      </c>
      <c r="AB248" s="153">
        <f t="shared" si="63"/>
        <v>0</v>
      </c>
      <c r="AC248" s="248">
        <f t="shared" si="56"/>
        <v>0</v>
      </c>
      <c r="AD248" s="153">
        <f t="shared" si="57"/>
        <v>0</v>
      </c>
      <c r="AE248" s="248">
        <f t="shared" si="58"/>
        <v>0</v>
      </c>
      <c r="AF248" s="153">
        <f t="shared" si="64"/>
        <v>0</v>
      </c>
      <c r="AG248" s="248">
        <f t="shared" si="59"/>
        <v>0</v>
      </c>
      <c r="AH248" s="153">
        <f t="shared" si="65"/>
        <v>0</v>
      </c>
      <c r="AI248" s="153"/>
      <c r="AJ248" s="153">
        <f t="shared" si="66"/>
        <v>0</v>
      </c>
      <c r="AK248" s="153">
        <f t="shared" si="67"/>
        <v>0</v>
      </c>
      <c r="AL248" s="153"/>
      <c r="AM248" s="153">
        <f>AK247*W247+AK248*W248</f>
        <v>0</v>
      </c>
      <c r="AN248" s="153">
        <f>(SUM(AD247:AG247)*W247+SUM(AD248:AG248)*W248)*12*VLOOKUP(C248,JNovergang,3,1)</f>
        <v>0</v>
      </c>
      <c r="AO248" s="153">
        <f>AM248-AN248</f>
        <v>0</v>
      </c>
      <c r="AP248" s="153">
        <f>M248*(100+X248)%</f>
        <v>0</v>
      </c>
      <c r="AQ248" s="248">
        <f>ROUND(M248*F248,2)</f>
        <v>0</v>
      </c>
      <c r="AS248" s="248">
        <f>ROUND((AP248+AQ248)+AM248*(N248/12),0)</f>
        <v>0</v>
      </c>
      <c r="AT248" s="248">
        <f>ROUND(AM248*(O248/12),0)</f>
        <v>0</v>
      </c>
      <c r="AU248" s="248">
        <f>ROUND(AM248*(P248/12)*U248,0)</f>
        <v>0</v>
      </c>
      <c r="AW248" s="129">
        <f t="shared" si="68"/>
        <v>0</v>
      </c>
    </row>
    <row r="249" spans="1:49" x14ac:dyDescent="0.15">
      <c r="A249" s="157"/>
      <c r="B249" s="158"/>
      <c r="C249" s="158"/>
      <c r="D249" s="149" t="str">
        <f t="shared" si="53"/>
        <v xml:space="preserve"> </v>
      </c>
      <c r="E249" s="161"/>
      <c r="F249" s="261">
        <v>0</v>
      </c>
      <c r="G249" s="161">
        <v>37</v>
      </c>
      <c r="H249" s="161">
        <v>37</v>
      </c>
      <c r="I249" s="161"/>
      <c r="J249" s="163"/>
      <c r="K249" s="161"/>
      <c r="L249" s="163"/>
      <c r="M249" s="150"/>
      <c r="N249" s="150"/>
      <c r="O249" s="150"/>
      <c r="P249" s="150"/>
      <c r="Q249" s="151"/>
      <c r="R249" s="151"/>
      <c r="S249" s="152"/>
      <c r="V249" s="129">
        <f t="shared" si="60"/>
        <v>0</v>
      </c>
      <c r="W249" s="129">
        <f t="shared" si="61"/>
        <v>0</v>
      </c>
      <c r="X249" s="129">
        <f t="shared" si="69"/>
        <v>0</v>
      </c>
      <c r="Y249" s="129">
        <f t="shared" si="62"/>
        <v>65.337800000000001</v>
      </c>
      <c r="Z249" s="153">
        <f t="shared" si="54"/>
        <v>0</v>
      </c>
      <c r="AA249" s="248">
        <f t="shared" si="55"/>
        <v>0</v>
      </c>
      <c r="AB249" s="153">
        <f t="shared" si="63"/>
        <v>0</v>
      </c>
      <c r="AC249" s="248">
        <f t="shared" si="56"/>
        <v>0</v>
      </c>
      <c r="AD249" s="153">
        <f t="shared" si="57"/>
        <v>0</v>
      </c>
      <c r="AE249" s="248">
        <f t="shared" si="58"/>
        <v>0</v>
      </c>
      <c r="AF249" s="153">
        <f t="shared" si="64"/>
        <v>0</v>
      </c>
      <c r="AG249" s="248">
        <f t="shared" si="59"/>
        <v>0</v>
      </c>
      <c r="AH249" s="153">
        <f t="shared" si="65"/>
        <v>0</v>
      </c>
      <c r="AI249" s="153"/>
      <c r="AJ249" s="153">
        <f t="shared" si="66"/>
        <v>0</v>
      </c>
      <c r="AK249" s="153">
        <f t="shared" si="67"/>
        <v>0</v>
      </c>
      <c r="AL249" s="153"/>
      <c r="AM249" s="153"/>
      <c r="AN249" s="153"/>
      <c r="AQ249" s="153"/>
      <c r="AW249" s="129">
        <f t="shared" si="68"/>
        <v>0</v>
      </c>
    </row>
    <row r="250" spans="1:49" ht="9.75" thickBot="1" x14ac:dyDescent="0.2">
      <c r="A250" s="159"/>
      <c r="B250" s="160"/>
      <c r="C250" s="160"/>
      <c r="D250" s="154" t="str">
        <f t="shared" si="53"/>
        <v xml:space="preserve"> </v>
      </c>
      <c r="E250" s="162"/>
      <c r="F250" s="262">
        <v>0</v>
      </c>
      <c r="G250" s="162">
        <v>37</v>
      </c>
      <c r="H250" s="162">
        <v>37</v>
      </c>
      <c r="I250" s="162"/>
      <c r="J250" s="164"/>
      <c r="K250" s="162"/>
      <c r="L250" s="164"/>
      <c r="M250" s="164"/>
      <c r="N250" s="162"/>
      <c r="O250" s="162"/>
      <c r="P250" s="162"/>
      <c r="Q250" s="155">
        <f>AS250</f>
        <v>0</v>
      </c>
      <c r="R250" s="155">
        <f>AT250</f>
        <v>0</v>
      </c>
      <c r="S250" s="156">
        <f>AU250</f>
        <v>0</v>
      </c>
      <c r="U250" s="129">
        <f>IF(OR(C249=5,C250=5),0,1)</f>
        <v>1</v>
      </c>
      <c r="V250" s="129">
        <f t="shared" si="60"/>
        <v>0</v>
      </c>
      <c r="W250" s="129">
        <f t="shared" si="61"/>
        <v>0</v>
      </c>
      <c r="X250" s="129">
        <f t="shared" si="69"/>
        <v>0</v>
      </c>
      <c r="Y250" s="129">
        <f t="shared" si="62"/>
        <v>65.337800000000001</v>
      </c>
      <c r="Z250" s="153">
        <f t="shared" si="54"/>
        <v>0</v>
      </c>
      <c r="AA250" s="248">
        <f t="shared" si="55"/>
        <v>0</v>
      </c>
      <c r="AB250" s="153">
        <f t="shared" si="63"/>
        <v>0</v>
      </c>
      <c r="AC250" s="248">
        <f t="shared" si="56"/>
        <v>0</v>
      </c>
      <c r="AD250" s="153">
        <f t="shared" si="57"/>
        <v>0</v>
      </c>
      <c r="AE250" s="248">
        <f t="shared" si="58"/>
        <v>0</v>
      </c>
      <c r="AF250" s="153">
        <f t="shared" si="64"/>
        <v>0</v>
      </c>
      <c r="AG250" s="248">
        <f t="shared" si="59"/>
        <v>0</v>
      </c>
      <c r="AH250" s="153">
        <f t="shared" si="65"/>
        <v>0</v>
      </c>
      <c r="AI250" s="153"/>
      <c r="AJ250" s="153">
        <f t="shared" si="66"/>
        <v>0</v>
      </c>
      <c r="AK250" s="153">
        <f t="shared" si="67"/>
        <v>0</v>
      </c>
      <c r="AL250" s="153"/>
      <c r="AM250" s="153">
        <f>AK249*W249+AK250*W250</f>
        <v>0</v>
      </c>
      <c r="AN250" s="153">
        <f>(SUM(AD249:AG249)*W249+SUM(AD250:AG250)*W250)*12*VLOOKUP(C250,JNovergang,3,1)</f>
        <v>0</v>
      </c>
      <c r="AO250" s="153">
        <f>AM250-AN250</f>
        <v>0</v>
      </c>
      <c r="AP250" s="153">
        <f>M250*(100+X250)%</f>
        <v>0</v>
      </c>
      <c r="AQ250" s="248">
        <f>ROUND(M250*F250,2)</f>
        <v>0</v>
      </c>
      <c r="AS250" s="248">
        <f>ROUND((AP250+AQ250)+AM250*(N250/12),0)</f>
        <v>0</v>
      </c>
      <c r="AT250" s="248">
        <f>ROUND(AM250*(O250/12),0)</f>
        <v>0</v>
      </c>
      <c r="AU250" s="248">
        <f>ROUND(AM250*(P250/12)*U250,0)</f>
        <v>0</v>
      </c>
      <c r="AW250" s="129">
        <f t="shared" si="68"/>
        <v>0</v>
      </c>
    </row>
    <row r="251" spans="1:49" x14ac:dyDescent="0.15">
      <c r="A251" s="157"/>
      <c r="B251" s="158"/>
      <c r="C251" s="158"/>
      <c r="D251" s="149" t="str">
        <f t="shared" si="53"/>
        <v xml:space="preserve"> </v>
      </c>
      <c r="E251" s="161"/>
      <c r="F251" s="261">
        <v>0</v>
      </c>
      <c r="G251" s="161">
        <v>37</v>
      </c>
      <c r="H251" s="161">
        <v>37</v>
      </c>
      <c r="I251" s="161"/>
      <c r="J251" s="163"/>
      <c r="K251" s="161"/>
      <c r="L251" s="163"/>
      <c r="M251" s="150"/>
      <c r="N251" s="150"/>
      <c r="O251" s="150"/>
      <c r="P251" s="150"/>
      <c r="Q251" s="151"/>
      <c r="R251" s="151"/>
      <c r="S251" s="152"/>
      <c r="V251" s="129">
        <f t="shared" si="60"/>
        <v>0</v>
      </c>
      <c r="W251" s="129">
        <f t="shared" si="61"/>
        <v>0</v>
      </c>
      <c r="X251" s="129">
        <f t="shared" si="69"/>
        <v>0</v>
      </c>
      <c r="Y251" s="129">
        <f t="shared" si="62"/>
        <v>65.337800000000001</v>
      </c>
      <c r="Z251" s="153">
        <f t="shared" si="54"/>
        <v>0</v>
      </c>
      <c r="AA251" s="248">
        <f t="shared" si="55"/>
        <v>0</v>
      </c>
      <c r="AB251" s="153">
        <f t="shared" si="63"/>
        <v>0</v>
      </c>
      <c r="AC251" s="248">
        <f t="shared" si="56"/>
        <v>0</v>
      </c>
      <c r="AD251" s="153">
        <f t="shared" si="57"/>
        <v>0</v>
      </c>
      <c r="AE251" s="248">
        <f t="shared" si="58"/>
        <v>0</v>
      </c>
      <c r="AF251" s="153">
        <f t="shared" si="64"/>
        <v>0</v>
      </c>
      <c r="AG251" s="248">
        <f t="shared" si="59"/>
        <v>0</v>
      </c>
      <c r="AH251" s="153">
        <f t="shared" si="65"/>
        <v>0</v>
      </c>
      <c r="AI251" s="153"/>
      <c r="AJ251" s="153">
        <f t="shared" si="66"/>
        <v>0</v>
      </c>
      <c r="AK251" s="153">
        <f t="shared" si="67"/>
        <v>0</v>
      </c>
      <c r="AL251" s="153"/>
      <c r="AM251" s="153"/>
      <c r="AN251" s="153"/>
      <c r="AQ251" s="153"/>
      <c r="AW251" s="129">
        <f t="shared" si="68"/>
        <v>0</v>
      </c>
    </row>
    <row r="252" spans="1:49" ht="9.75" thickBot="1" x14ac:dyDescent="0.2">
      <c r="A252" s="159"/>
      <c r="B252" s="160"/>
      <c r="C252" s="160"/>
      <c r="D252" s="154" t="str">
        <f t="shared" si="53"/>
        <v xml:space="preserve"> </v>
      </c>
      <c r="E252" s="162"/>
      <c r="F252" s="262">
        <v>0</v>
      </c>
      <c r="G252" s="162">
        <v>37</v>
      </c>
      <c r="H252" s="162">
        <v>37</v>
      </c>
      <c r="I252" s="162"/>
      <c r="J252" s="164"/>
      <c r="K252" s="162"/>
      <c r="L252" s="164"/>
      <c r="M252" s="164"/>
      <c r="N252" s="162"/>
      <c r="O252" s="162"/>
      <c r="P252" s="162"/>
      <c r="Q252" s="155">
        <f>AS252</f>
        <v>0</v>
      </c>
      <c r="R252" s="155">
        <f>AT252</f>
        <v>0</v>
      </c>
      <c r="S252" s="156">
        <f>AU252</f>
        <v>0</v>
      </c>
      <c r="U252" s="129">
        <f>IF(OR(C251=5,C252=5),0,1)</f>
        <v>1</v>
      </c>
      <c r="V252" s="129">
        <f t="shared" si="60"/>
        <v>0</v>
      </c>
      <c r="W252" s="129">
        <f t="shared" si="61"/>
        <v>0</v>
      </c>
      <c r="X252" s="129">
        <f t="shared" si="69"/>
        <v>0</v>
      </c>
      <c r="Y252" s="129">
        <f t="shared" si="62"/>
        <v>65.337800000000001</v>
      </c>
      <c r="Z252" s="153">
        <f t="shared" si="54"/>
        <v>0</v>
      </c>
      <c r="AA252" s="248">
        <f t="shared" si="55"/>
        <v>0</v>
      </c>
      <c r="AB252" s="153">
        <f t="shared" si="63"/>
        <v>0</v>
      </c>
      <c r="AC252" s="248">
        <f t="shared" si="56"/>
        <v>0</v>
      </c>
      <c r="AD252" s="153">
        <f t="shared" si="57"/>
        <v>0</v>
      </c>
      <c r="AE252" s="248">
        <f t="shared" si="58"/>
        <v>0</v>
      </c>
      <c r="AF252" s="153">
        <f t="shared" si="64"/>
        <v>0</v>
      </c>
      <c r="AG252" s="248">
        <f t="shared" si="59"/>
        <v>0</v>
      </c>
      <c r="AH252" s="153">
        <f t="shared" si="65"/>
        <v>0</v>
      </c>
      <c r="AI252" s="153"/>
      <c r="AJ252" s="153">
        <f t="shared" si="66"/>
        <v>0</v>
      </c>
      <c r="AK252" s="153">
        <f t="shared" si="67"/>
        <v>0</v>
      </c>
      <c r="AL252" s="153"/>
      <c r="AM252" s="153">
        <f>AK251*W251+AK252*W252</f>
        <v>0</v>
      </c>
      <c r="AN252" s="153">
        <f>(SUM(AD251:AG251)*W251+SUM(AD252:AG252)*W252)*12*VLOOKUP(C252,JNovergang,3,1)</f>
        <v>0</v>
      </c>
      <c r="AO252" s="153">
        <f>AM252-AN252</f>
        <v>0</v>
      </c>
      <c r="AP252" s="153">
        <f>M252*(100+X252)%</f>
        <v>0</v>
      </c>
      <c r="AQ252" s="248">
        <f>ROUND(M252*F252,2)</f>
        <v>0</v>
      </c>
      <c r="AS252" s="248">
        <f>ROUND((AP252+AQ252)+AM252*(N252/12),0)</f>
        <v>0</v>
      </c>
      <c r="AT252" s="248">
        <f>ROUND(AM252*(O252/12),0)</f>
        <v>0</v>
      </c>
      <c r="AU252" s="248">
        <f>ROUND(AM252*(P252/12)*U252,0)</f>
        <v>0</v>
      </c>
      <c r="AW252" s="129">
        <f t="shared" si="68"/>
        <v>0</v>
      </c>
    </row>
    <row r="253" spans="1:49" x14ac:dyDescent="0.15">
      <c r="A253" s="157"/>
      <c r="B253" s="158"/>
      <c r="C253" s="158"/>
      <c r="D253" s="149" t="str">
        <f t="shared" si="53"/>
        <v xml:space="preserve"> </v>
      </c>
      <c r="E253" s="161"/>
      <c r="F253" s="261">
        <v>0</v>
      </c>
      <c r="G253" s="161">
        <v>37</v>
      </c>
      <c r="H253" s="161">
        <v>37</v>
      </c>
      <c r="I253" s="161"/>
      <c r="J253" s="163"/>
      <c r="K253" s="161"/>
      <c r="L253" s="163"/>
      <c r="M253" s="150"/>
      <c r="N253" s="150"/>
      <c r="O253" s="150"/>
      <c r="P253" s="150"/>
      <c r="Q253" s="151"/>
      <c r="R253" s="151"/>
      <c r="S253" s="152"/>
      <c r="V253" s="129">
        <f t="shared" si="60"/>
        <v>0</v>
      </c>
      <c r="W253" s="129">
        <f t="shared" si="61"/>
        <v>0</v>
      </c>
      <c r="X253" s="129">
        <f t="shared" si="69"/>
        <v>0</v>
      </c>
      <c r="Y253" s="129">
        <f t="shared" si="62"/>
        <v>65.337800000000001</v>
      </c>
      <c r="Z253" s="153">
        <f t="shared" si="54"/>
        <v>0</v>
      </c>
      <c r="AA253" s="248">
        <f t="shared" si="55"/>
        <v>0</v>
      </c>
      <c r="AB253" s="153">
        <f t="shared" si="63"/>
        <v>0</v>
      </c>
      <c r="AC253" s="248">
        <f t="shared" si="56"/>
        <v>0</v>
      </c>
      <c r="AD253" s="153">
        <f t="shared" si="57"/>
        <v>0</v>
      </c>
      <c r="AE253" s="248">
        <f t="shared" si="58"/>
        <v>0</v>
      </c>
      <c r="AF253" s="153">
        <f t="shared" si="64"/>
        <v>0</v>
      </c>
      <c r="AG253" s="248">
        <f t="shared" si="59"/>
        <v>0</v>
      </c>
      <c r="AH253" s="153">
        <f t="shared" si="65"/>
        <v>0</v>
      </c>
      <c r="AI253" s="153"/>
      <c r="AJ253" s="153">
        <f t="shared" si="66"/>
        <v>0</v>
      </c>
      <c r="AK253" s="153">
        <f t="shared" si="67"/>
        <v>0</v>
      </c>
      <c r="AL253" s="153"/>
      <c r="AM253" s="153"/>
      <c r="AN253" s="153"/>
      <c r="AQ253" s="153"/>
      <c r="AW253" s="129">
        <f t="shared" si="68"/>
        <v>0</v>
      </c>
    </row>
    <row r="254" spans="1:49" ht="9.75" thickBot="1" x14ac:dyDescent="0.2">
      <c r="A254" s="159"/>
      <c r="B254" s="160"/>
      <c r="C254" s="160"/>
      <c r="D254" s="154" t="str">
        <f t="shared" si="53"/>
        <v xml:space="preserve"> </v>
      </c>
      <c r="E254" s="162"/>
      <c r="F254" s="262">
        <v>0</v>
      </c>
      <c r="G254" s="162">
        <v>37</v>
      </c>
      <c r="H254" s="162">
        <v>37</v>
      </c>
      <c r="I254" s="162"/>
      <c r="J254" s="164"/>
      <c r="K254" s="162"/>
      <c r="L254" s="164"/>
      <c r="M254" s="164"/>
      <c r="N254" s="162"/>
      <c r="O254" s="162"/>
      <c r="P254" s="162"/>
      <c r="Q254" s="155">
        <f>AS254</f>
        <v>0</v>
      </c>
      <c r="R254" s="155">
        <f>AT254</f>
        <v>0</v>
      </c>
      <c r="S254" s="156">
        <f>AU254</f>
        <v>0</v>
      </c>
      <c r="U254" s="129">
        <f>IF(OR(C253=5,C254=5),0,1)</f>
        <v>1</v>
      </c>
      <c r="V254" s="129">
        <f t="shared" si="60"/>
        <v>0</v>
      </c>
      <c r="W254" s="129">
        <f t="shared" si="61"/>
        <v>0</v>
      </c>
      <c r="X254" s="129">
        <f t="shared" si="69"/>
        <v>0</v>
      </c>
      <c r="Y254" s="129">
        <f t="shared" si="62"/>
        <v>65.337800000000001</v>
      </c>
      <c r="Z254" s="153">
        <f t="shared" si="54"/>
        <v>0</v>
      </c>
      <c r="AA254" s="248">
        <f t="shared" si="55"/>
        <v>0</v>
      </c>
      <c r="AB254" s="153">
        <f t="shared" si="63"/>
        <v>0</v>
      </c>
      <c r="AC254" s="248">
        <f t="shared" si="56"/>
        <v>0</v>
      </c>
      <c r="AD254" s="153">
        <f t="shared" si="57"/>
        <v>0</v>
      </c>
      <c r="AE254" s="248">
        <f t="shared" si="58"/>
        <v>0</v>
      </c>
      <c r="AF254" s="153">
        <f t="shared" si="64"/>
        <v>0</v>
      </c>
      <c r="AG254" s="248">
        <f t="shared" si="59"/>
        <v>0</v>
      </c>
      <c r="AH254" s="153">
        <f t="shared" si="65"/>
        <v>0</v>
      </c>
      <c r="AI254" s="153"/>
      <c r="AJ254" s="153">
        <f t="shared" si="66"/>
        <v>0</v>
      </c>
      <c r="AK254" s="153">
        <f t="shared" si="67"/>
        <v>0</v>
      </c>
      <c r="AL254" s="153"/>
      <c r="AM254" s="153">
        <f>AK253*W253+AK254*W254</f>
        <v>0</v>
      </c>
      <c r="AN254" s="153">
        <f>(SUM(AD253:AG253)*W253+SUM(AD254:AG254)*W254)*12*VLOOKUP(C254,JNovergang,3,1)</f>
        <v>0</v>
      </c>
      <c r="AO254" s="153">
        <f>AM254-AN254</f>
        <v>0</v>
      </c>
      <c r="AP254" s="153">
        <f>M254*(100+X254)%</f>
        <v>0</v>
      </c>
      <c r="AQ254" s="248">
        <f>ROUND(M254*F254,2)</f>
        <v>0</v>
      </c>
      <c r="AS254" s="248">
        <f>ROUND((AP254+AQ254)+AM254*(N254/12),0)</f>
        <v>0</v>
      </c>
      <c r="AT254" s="248">
        <f>ROUND(AM254*(O254/12),0)</f>
        <v>0</v>
      </c>
      <c r="AU254" s="248">
        <f>ROUND(AM254*(P254/12)*U254,0)</f>
        <v>0</v>
      </c>
      <c r="AW254" s="129">
        <f t="shared" si="68"/>
        <v>0</v>
      </c>
    </row>
    <row r="255" spans="1:49" x14ac:dyDescent="0.15">
      <c r="A255" s="157"/>
      <c r="B255" s="158"/>
      <c r="C255" s="158"/>
      <c r="D255" s="149" t="str">
        <f t="shared" si="53"/>
        <v xml:space="preserve"> </v>
      </c>
      <c r="E255" s="161"/>
      <c r="F255" s="261">
        <v>0</v>
      </c>
      <c r="G255" s="161">
        <v>37</v>
      </c>
      <c r="H255" s="161">
        <v>37</v>
      </c>
      <c r="I255" s="161"/>
      <c r="J255" s="163"/>
      <c r="K255" s="161"/>
      <c r="L255" s="163"/>
      <c r="M255" s="150"/>
      <c r="N255" s="150"/>
      <c r="O255" s="150"/>
      <c r="P255" s="150"/>
      <c r="Q255" s="151"/>
      <c r="R255" s="151"/>
      <c r="S255" s="152"/>
      <c r="V255" s="129">
        <f t="shared" si="60"/>
        <v>0</v>
      </c>
      <c r="W255" s="129">
        <f t="shared" si="61"/>
        <v>0</v>
      </c>
      <c r="X255" s="129">
        <f t="shared" si="69"/>
        <v>0</v>
      </c>
      <c r="Y255" s="129">
        <f t="shared" si="62"/>
        <v>65.337800000000001</v>
      </c>
      <c r="Z255" s="153">
        <f t="shared" si="54"/>
        <v>0</v>
      </c>
      <c r="AA255" s="248">
        <f t="shared" si="55"/>
        <v>0</v>
      </c>
      <c r="AB255" s="153">
        <f t="shared" si="63"/>
        <v>0</v>
      </c>
      <c r="AC255" s="248">
        <f t="shared" si="56"/>
        <v>0</v>
      </c>
      <c r="AD255" s="153">
        <f t="shared" si="57"/>
        <v>0</v>
      </c>
      <c r="AE255" s="248">
        <f t="shared" si="58"/>
        <v>0</v>
      </c>
      <c r="AF255" s="153">
        <f t="shared" si="64"/>
        <v>0</v>
      </c>
      <c r="AG255" s="248">
        <f t="shared" si="59"/>
        <v>0</v>
      </c>
      <c r="AH255" s="153">
        <f t="shared" si="65"/>
        <v>0</v>
      </c>
      <c r="AI255" s="153"/>
      <c r="AJ255" s="153">
        <f t="shared" si="66"/>
        <v>0</v>
      </c>
      <c r="AK255" s="153">
        <f t="shared" si="67"/>
        <v>0</v>
      </c>
      <c r="AL255" s="153"/>
      <c r="AM255" s="153"/>
      <c r="AN255" s="153"/>
      <c r="AQ255" s="153"/>
      <c r="AW255" s="129">
        <f t="shared" si="68"/>
        <v>0</v>
      </c>
    </row>
    <row r="256" spans="1:49" ht="9.75" thickBot="1" x14ac:dyDescent="0.2">
      <c r="A256" s="159"/>
      <c r="B256" s="160"/>
      <c r="C256" s="160"/>
      <c r="D256" s="154" t="str">
        <f t="shared" si="53"/>
        <v xml:space="preserve"> </v>
      </c>
      <c r="E256" s="162"/>
      <c r="F256" s="262">
        <v>0</v>
      </c>
      <c r="G256" s="162">
        <v>37</v>
      </c>
      <c r="H256" s="162">
        <v>37</v>
      </c>
      <c r="I256" s="162"/>
      <c r="J256" s="164"/>
      <c r="K256" s="162"/>
      <c r="L256" s="164"/>
      <c r="M256" s="164"/>
      <c r="N256" s="162"/>
      <c r="O256" s="162"/>
      <c r="P256" s="162"/>
      <c r="Q256" s="155">
        <f>AS256</f>
        <v>0</v>
      </c>
      <c r="R256" s="155">
        <f>AT256</f>
        <v>0</v>
      </c>
      <c r="S256" s="156">
        <f>AU256</f>
        <v>0</v>
      </c>
      <c r="U256" s="129">
        <f>IF(OR(C255=5,C256=5),0,1)</f>
        <v>1</v>
      </c>
      <c r="V256" s="129">
        <f t="shared" si="60"/>
        <v>0</v>
      </c>
      <c r="W256" s="129">
        <f t="shared" si="61"/>
        <v>0</v>
      </c>
      <c r="X256" s="129">
        <f t="shared" si="69"/>
        <v>0</v>
      </c>
      <c r="Y256" s="129">
        <f t="shared" si="62"/>
        <v>65.337800000000001</v>
      </c>
      <c r="Z256" s="153">
        <f t="shared" si="54"/>
        <v>0</v>
      </c>
      <c r="AA256" s="248">
        <f t="shared" si="55"/>
        <v>0</v>
      </c>
      <c r="AB256" s="153">
        <f t="shared" si="63"/>
        <v>0</v>
      </c>
      <c r="AC256" s="248">
        <f t="shared" si="56"/>
        <v>0</v>
      </c>
      <c r="AD256" s="153">
        <f t="shared" si="57"/>
        <v>0</v>
      </c>
      <c r="AE256" s="248">
        <f t="shared" si="58"/>
        <v>0</v>
      </c>
      <c r="AF256" s="153">
        <f t="shared" si="64"/>
        <v>0</v>
      </c>
      <c r="AG256" s="248">
        <f t="shared" si="59"/>
        <v>0</v>
      </c>
      <c r="AH256" s="153">
        <f t="shared" si="65"/>
        <v>0</v>
      </c>
      <c r="AI256" s="153"/>
      <c r="AJ256" s="153">
        <f t="shared" si="66"/>
        <v>0</v>
      </c>
      <c r="AK256" s="153">
        <f t="shared" si="67"/>
        <v>0</v>
      </c>
      <c r="AL256" s="153"/>
      <c r="AM256" s="153">
        <f>AK255*W255+AK256*W256</f>
        <v>0</v>
      </c>
      <c r="AN256" s="153">
        <f>(SUM(AD255:AG255)*W255+SUM(AD256:AG256)*W256)*12*VLOOKUP(C256,JNovergang,3,1)</f>
        <v>0</v>
      </c>
      <c r="AO256" s="153">
        <f>AM256-AN256</f>
        <v>0</v>
      </c>
      <c r="AP256" s="153">
        <f>M256*(100+X256)%</f>
        <v>0</v>
      </c>
      <c r="AQ256" s="248">
        <f>ROUND(M256*F256,2)</f>
        <v>0</v>
      </c>
      <c r="AS256" s="248">
        <f>ROUND((AP256+AQ256)+AM256*(N256/12),0)</f>
        <v>0</v>
      </c>
      <c r="AT256" s="248">
        <f>ROUND(AM256*(O256/12),0)</f>
        <v>0</v>
      </c>
      <c r="AU256" s="248">
        <f>ROUND(AM256*(P256/12)*U256,0)</f>
        <v>0</v>
      </c>
      <c r="AW256" s="129">
        <f t="shared" si="68"/>
        <v>0</v>
      </c>
    </row>
    <row r="257" spans="1:49" x14ac:dyDescent="0.15">
      <c r="A257" s="157"/>
      <c r="B257" s="158"/>
      <c r="C257" s="158"/>
      <c r="D257" s="149" t="str">
        <f t="shared" si="53"/>
        <v xml:space="preserve"> </v>
      </c>
      <c r="E257" s="161"/>
      <c r="F257" s="261">
        <v>0</v>
      </c>
      <c r="G257" s="161">
        <v>37</v>
      </c>
      <c r="H257" s="161">
        <v>37</v>
      </c>
      <c r="I257" s="161"/>
      <c r="J257" s="163"/>
      <c r="K257" s="161"/>
      <c r="L257" s="163"/>
      <c r="M257" s="150"/>
      <c r="N257" s="150"/>
      <c r="O257" s="150"/>
      <c r="P257" s="150"/>
      <c r="Q257" s="151"/>
      <c r="R257" s="151"/>
      <c r="S257" s="152"/>
      <c r="V257" s="129">
        <f t="shared" si="60"/>
        <v>0</v>
      </c>
      <c r="W257" s="129">
        <f t="shared" si="61"/>
        <v>0</v>
      </c>
      <c r="X257" s="129">
        <f t="shared" si="69"/>
        <v>0</v>
      </c>
      <c r="Y257" s="129">
        <f t="shared" si="62"/>
        <v>65.337800000000001</v>
      </c>
      <c r="Z257" s="153">
        <f t="shared" si="54"/>
        <v>0</v>
      </c>
      <c r="AA257" s="248">
        <f t="shared" si="55"/>
        <v>0</v>
      </c>
      <c r="AB257" s="153">
        <f t="shared" si="63"/>
        <v>0</v>
      </c>
      <c r="AC257" s="248">
        <f t="shared" si="56"/>
        <v>0</v>
      </c>
      <c r="AD257" s="153">
        <f t="shared" si="57"/>
        <v>0</v>
      </c>
      <c r="AE257" s="248">
        <f t="shared" si="58"/>
        <v>0</v>
      </c>
      <c r="AF257" s="153">
        <f t="shared" si="64"/>
        <v>0</v>
      </c>
      <c r="AG257" s="248">
        <f t="shared" si="59"/>
        <v>0</v>
      </c>
      <c r="AH257" s="153">
        <f t="shared" si="65"/>
        <v>0</v>
      </c>
      <c r="AI257" s="153"/>
      <c r="AJ257" s="153">
        <f t="shared" si="66"/>
        <v>0</v>
      </c>
      <c r="AK257" s="153">
        <f t="shared" si="67"/>
        <v>0</v>
      </c>
      <c r="AL257" s="153"/>
      <c r="AM257" s="153"/>
      <c r="AN257" s="153"/>
      <c r="AQ257" s="153"/>
      <c r="AW257" s="129">
        <f t="shared" si="68"/>
        <v>0</v>
      </c>
    </row>
    <row r="258" spans="1:49" ht="9.75" thickBot="1" x14ac:dyDescent="0.2">
      <c r="A258" s="159"/>
      <c r="B258" s="160"/>
      <c r="C258" s="160"/>
      <c r="D258" s="154" t="str">
        <f>VLOOKUP(C258,Tabelændringskode,2,1)</f>
        <v xml:space="preserve"> </v>
      </c>
      <c r="E258" s="162"/>
      <c r="F258" s="262">
        <v>0</v>
      </c>
      <c r="G258" s="162">
        <v>37</v>
      </c>
      <c r="H258" s="162">
        <v>37</v>
      </c>
      <c r="I258" s="162"/>
      <c r="J258" s="164"/>
      <c r="K258" s="162"/>
      <c r="L258" s="164"/>
      <c r="M258" s="164"/>
      <c r="N258" s="162"/>
      <c r="O258" s="162"/>
      <c r="P258" s="162"/>
      <c r="Q258" s="155">
        <f>AS258</f>
        <v>0</v>
      </c>
      <c r="R258" s="155">
        <f>AT258</f>
        <v>0</v>
      </c>
      <c r="S258" s="156">
        <f>AU258</f>
        <v>0</v>
      </c>
      <c r="U258" s="129">
        <f>IF(OR(C257=5,C258=5),0,1)</f>
        <v>1</v>
      </c>
      <c r="V258" s="129">
        <f t="shared" si="60"/>
        <v>0</v>
      </c>
      <c r="W258" s="129">
        <f t="shared" si="61"/>
        <v>0</v>
      </c>
      <c r="X258" s="129">
        <f t="shared" si="69"/>
        <v>0</v>
      </c>
      <c r="Y258" s="129">
        <f t="shared" si="62"/>
        <v>65.337800000000001</v>
      </c>
      <c r="Z258" s="153">
        <f t="shared" si="54"/>
        <v>0</v>
      </c>
      <c r="AA258" s="248">
        <f t="shared" si="55"/>
        <v>0</v>
      </c>
      <c r="AB258" s="153">
        <f t="shared" si="63"/>
        <v>0</v>
      </c>
      <c r="AC258" s="248">
        <f t="shared" si="56"/>
        <v>0</v>
      </c>
      <c r="AD258" s="153">
        <f t="shared" si="57"/>
        <v>0</v>
      </c>
      <c r="AE258" s="248">
        <f t="shared" si="58"/>
        <v>0</v>
      </c>
      <c r="AF258" s="153">
        <f t="shared" si="64"/>
        <v>0</v>
      </c>
      <c r="AG258" s="248">
        <f t="shared" si="59"/>
        <v>0</v>
      </c>
      <c r="AH258" s="153">
        <f t="shared" si="65"/>
        <v>0</v>
      </c>
      <c r="AI258" s="153"/>
      <c r="AJ258" s="153">
        <f t="shared" si="66"/>
        <v>0</v>
      </c>
      <c r="AK258" s="153">
        <f t="shared" si="67"/>
        <v>0</v>
      </c>
      <c r="AL258" s="153"/>
      <c r="AM258" s="153">
        <f>AK257*W257+AK258*W258</f>
        <v>0</v>
      </c>
      <c r="AN258" s="153">
        <f>(SUM(AD257:AG257)*W257+SUM(AD258:AG258)*W258)*12*VLOOKUP(C258,JNovergang,3,1)</f>
        <v>0</v>
      </c>
      <c r="AO258" s="153">
        <f>AM258-AN258</f>
        <v>0</v>
      </c>
      <c r="AP258" s="153">
        <f>M258*(100+X258)%</f>
        <v>0</v>
      </c>
      <c r="AQ258" s="248">
        <f>ROUND(M258*F258,2)</f>
        <v>0</v>
      </c>
      <c r="AS258" s="248">
        <f>ROUND((AP258+AQ258)+AM258*(N258/12),0)</f>
        <v>0</v>
      </c>
      <c r="AT258" s="248">
        <f>ROUND(AM258*(O258/12),0)</f>
        <v>0</v>
      </c>
      <c r="AU258" s="248">
        <f>ROUND(AM258*(P258/12)*U258,0)</f>
        <v>0</v>
      </c>
      <c r="AW258" s="129">
        <f t="shared" si="68"/>
        <v>0</v>
      </c>
    </row>
    <row r="259" spans="1:49" x14ac:dyDescent="0.15">
      <c r="A259" s="157"/>
      <c r="B259" s="158"/>
      <c r="C259" s="158"/>
      <c r="D259" s="149" t="str">
        <f t="shared" si="53"/>
        <v xml:space="preserve"> </v>
      </c>
      <c r="E259" s="161"/>
      <c r="F259" s="261">
        <v>0</v>
      </c>
      <c r="G259" s="161">
        <v>37</v>
      </c>
      <c r="H259" s="161">
        <v>37</v>
      </c>
      <c r="I259" s="161"/>
      <c r="J259" s="163"/>
      <c r="K259" s="161"/>
      <c r="L259" s="163"/>
      <c r="M259" s="150"/>
      <c r="N259" s="150"/>
      <c r="O259" s="150"/>
      <c r="P259" s="150"/>
      <c r="Q259" s="151"/>
      <c r="R259" s="151"/>
      <c r="S259" s="152"/>
      <c r="V259" s="129">
        <f t="shared" si="60"/>
        <v>0</v>
      </c>
      <c r="W259" s="129">
        <f t="shared" si="61"/>
        <v>0</v>
      </c>
      <c r="X259" s="129">
        <f t="shared" si="69"/>
        <v>0</v>
      </c>
      <c r="Y259" s="129">
        <f t="shared" si="62"/>
        <v>65.337800000000001</v>
      </c>
      <c r="Z259" s="153">
        <f t="shared" si="54"/>
        <v>0</v>
      </c>
      <c r="AA259" s="248">
        <f t="shared" si="55"/>
        <v>0</v>
      </c>
      <c r="AB259" s="153">
        <f t="shared" si="63"/>
        <v>0</v>
      </c>
      <c r="AC259" s="248">
        <f t="shared" si="56"/>
        <v>0</v>
      </c>
      <c r="AD259" s="153">
        <f t="shared" si="57"/>
        <v>0</v>
      </c>
      <c r="AE259" s="248">
        <f t="shared" si="58"/>
        <v>0</v>
      </c>
      <c r="AF259" s="153">
        <f t="shared" si="64"/>
        <v>0</v>
      </c>
      <c r="AG259" s="248">
        <f t="shared" si="59"/>
        <v>0</v>
      </c>
      <c r="AH259" s="153">
        <f t="shared" si="65"/>
        <v>0</v>
      </c>
      <c r="AI259" s="153"/>
      <c r="AJ259" s="153">
        <f t="shared" si="66"/>
        <v>0</v>
      </c>
      <c r="AK259" s="153">
        <f t="shared" si="67"/>
        <v>0</v>
      </c>
      <c r="AL259" s="153"/>
      <c r="AM259" s="153"/>
      <c r="AN259" s="153"/>
      <c r="AQ259" s="153"/>
      <c r="AW259" s="129">
        <f t="shared" si="68"/>
        <v>0</v>
      </c>
    </row>
    <row r="260" spans="1:49" ht="9.75" thickBot="1" x14ac:dyDescent="0.2">
      <c r="A260" s="159"/>
      <c r="B260" s="160"/>
      <c r="C260" s="160"/>
      <c r="D260" s="154" t="str">
        <f>VLOOKUP(C260,Tabelændringskode,2,1)</f>
        <v xml:space="preserve"> </v>
      </c>
      <c r="E260" s="162"/>
      <c r="F260" s="262">
        <v>0</v>
      </c>
      <c r="G260" s="162">
        <v>37</v>
      </c>
      <c r="H260" s="162">
        <v>37</v>
      </c>
      <c r="I260" s="162"/>
      <c r="J260" s="164"/>
      <c r="K260" s="162"/>
      <c r="L260" s="164"/>
      <c r="M260" s="164"/>
      <c r="N260" s="162"/>
      <c r="O260" s="162"/>
      <c r="P260" s="162"/>
      <c r="Q260" s="155">
        <f>AS260</f>
        <v>0</v>
      </c>
      <c r="R260" s="155">
        <f>AT260</f>
        <v>0</v>
      </c>
      <c r="S260" s="156">
        <f>AU260</f>
        <v>0</v>
      </c>
      <c r="U260" s="129">
        <f>IF(OR(C259=5,C260=5),0,1)</f>
        <v>1</v>
      </c>
      <c r="V260" s="129">
        <f t="shared" si="60"/>
        <v>0</v>
      </c>
      <c r="W260" s="129">
        <f t="shared" si="61"/>
        <v>0</v>
      </c>
      <c r="X260" s="129">
        <f t="shared" si="69"/>
        <v>0</v>
      </c>
      <c r="Y260" s="129">
        <f t="shared" si="62"/>
        <v>65.337800000000001</v>
      </c>
      <c r="Z260" s="153">
        <f t="shared" si="54"/>
        <v>0</v>
      </c>
      <c r="AA260" s="248">
        <f t="shared" si="55"/>
        <v>0</v>
      </c>
      <c r="AB260" s="153">
        <f t="shared" si="63"/>
        <v>0</v>
      </c>
      <c r="AC260" s="248">
        <f t="shared" si="56"/>
        <v>0</v>
      </c>
      <c r="AD260" s="153">
        <f t="shared" si="57"/>
        <v>0</v>
      </c>
      <c r="AE260" s="248">
        <f t="shared" si="58"/>
        <v>0</v>
      </c>
      <c r="AF260" s="153">
        <f t="shared" si="64"/>
        <v>0</v>
      </c>
      <c r="AG260" s="248">
        <f t="shared" si="59"/>
        <v>0</v>
      </c>
      <c r="AH260" s="153">
        <f t="shared" si="65"/>
        <v>0</v>
      </c>
      <c r="AI260" s="153"/>
      <c r="AJ260" s="153">
        <f t="shared" si="66"/>
        <v>0</v>
      </c>
      <c r="AK260" s="153">
        <f t="shared" si="67"/>
        <v>0</v>
      </c>
      <c r="AL260" s="153"/>
      <c r="AM260" s="153">
        <f>AK259*W259+AK260*W260</f>
        <v>0</v>
      </c>
      <c r="AN260" s="153">
        <f>(SUM(AD259:AG259)*W259+SUM(AD260:AG260)*W260)*12*VLOOKUP(C260,JNovergang,3,1)</f>
        <v>0</v>
      </c>
      <c r="AO260" s="153">
        <f>AM260-AN260</f>
        <v>0</v>
      </c>
      <c r="AP260" s="153">
        <f>M260*(100+X260)%</f>
        <v>0</v>
      </c>
      <c r="AQ260" s="248">
        <f>ROUND(M260*F260,2)</f>
        <v>0</v>
      </c>
      <c r="AS260" s="248">
        <f>ROUND((AP260+AQ260)+AM260*(N260/12),0)</f>
        <v>0</v>
      </c>
      <c r="AT260" s="248">
        <f>ROUND(AM260*(O260/12),0)</f>
        <v>0</v>
      </c>
      <c r="AU260" s="248">
        <f>ROUND(AM260*(P260/12)*U260,0)</f>
        <v>0</v>
      </c>
      <c r="AW260" s="129">
        <f t="shared" si="68"/>
        <v>0</v>
      </c>
    </row>
    <row r="261" spans="1:49" x14ac:dyDescent="0.15">
      <c r="A261" s="157"/>
      <c r="B261" s="158"/>
      <c r="C261" s="158"/>
      <c r="D261" s="149" t="str">
        <f t="shared" ref="D261:D281" si="70">VLOOKUP(C261,Tabelændringskode,2,1)</f>
        <v xml:space="preserve"> </v>
      </c>
      <c r="E261" s="161"/>
      <c r="F261" s="261">
        <v>0</v>
      </c>
      <c r="G261" s="161">
        <v>37</v>
      </c>
      <c r="H261" s="161">
        <v>37</v>
      </c>
      <c r="I261" s="161"/>
      <c r="J261" s="163"/>
      <c r="K261" s="161"/>
      <c r="L261" s="163"/>
      <c r="M261" s="150"/>
      <c r="N261" s="150"/>
      <c r="O261" s="150"/>
      <c r="P261" s="150"/>
      <c r="Q261" s="151"/>
      <c r="R261" s="151"/>
      <c r="S261" s="152"/>
      <c r="V261" s="129">
        <f t="shared" si="60"/>
        <v>0</v>
      </c>
      <c r="W261" s="129">
        <f t="shared" si="61"/>
        <v>0</v>
      </c>
      <c r="X261" s="129">
        <f t="shared" si="69"/>
        <v>0</v>
      </c>
      <c r="Y261" s="129">
        <f t="shared" si="62"/>
        <v>65.337800000000001</v>
      </c>
      <c r="Z261" s="153">
        <f t="shared" si="54"/>
        <v>0</v>
      </c>
      <c r="AA261" s="248">
        <f t="shared" si="55"/>
        <v>0</v>
      </c>
      <c r="AB261" s="153">
        <f t="shared" si="63"/>
        <v>0</v>
      </c>
      <c r="AC261" s="248">
        <f t="shared" si="56"/>
        <v>0</v>
      </c>
      <c r="AD261" s="153">
        <f t="shared" si="57"/>
        <v>0</v>
      </c>
      <c r="AE261" s="248">
        <f t="shared" si="58"/>
        <v>0</v>
      </c>
      <c r="AF261" s="153">
        <f t="shared" si="64"/>
        <v>0</v>
      </c>
      <c r="AG261" s="248">
        <f t="shared" si="59"/>
        <v>0</v>
      </c>
      <c r="AH261" s="153">
        <f t="shared" si="65"/>
        <v>0</v>
      </c>
      <c r="AI261" s="153"/>
      <c r="AJ261" s="153">
        <f t="shared" si="66"/>
        <v>0</v>
      </c>
      <c r="AK261" s="153">
        <f t="shared" si="67"/>
        <v>0</v>
      </c>
      <c r="AL261" s="153"/>
      <c r="AM261" s="153"/>
      <c r="AN261" s="153"/>
      <c r="AQ261" s="153"/>
      <c r="AW261" s="129">
        <f t="shared" si="68"/>
        <v>0</v>
      </c>
    </row>
    <row r="262" spans="1:49" ht="9.75" thickBot="1" x14ac:dyDescent="0.2">
      <c r="A262" s="159"/>
      <c r="B262" s="160"/>
      <c r="C262" s="160"/>
      <c r="D262" s="154" t="str">
        <f>VLOOKUP(C262,Tabelændringskode,2,1)</f>
        <v xml:space="preserve"> </v>
      </c>
      <c r="E262" s="162"/>
      <c r="F262" s="262">
        <v>0</v>
      </c>
      <c r="G262" s="162">
        <v>37</v>
      </c>
      <c r="H262" s="162">
        <v>37</v>
      </c>
      <c r="I262" s="162"/>
      <c r="J262" s="164"/>
      <c r="K262" s="162"/>
      <c r="L262" s="164"/>
      <c r="M262" s="164"/>
      <c r="N262" s="162"/>
      <c r="O262" s="162"/>
      <c r="P262" s="162"/>
      <c r="Q262" s="155">
        <f>AS262</f>
        <v>0</v>
      </c>
      <c r="R262" s="155">
        <f>AT262</f>
        <v>0</v>
      </c>
      <c r="S262" s="156">
        <f>AU262</f>
        <v>0</v>
      </c>
      <c r="U262" s="129">
        <f>IF(OR(C261=5,C262=5),0,1)</f>
        <v>1</v>
      </c>
      <c r="V262" s="129">
        <f t="shared" si="60"/>
        <v>0</v>
      </c>
      <c r="W262" s="129">
        <f t="shared" si="61"/>
        <v>0</v>
      </c>
      <c r="X262" s="129">
        <f t="shared" si="69"/>
        <v>0</v>
      </c>
      <c r="Y262" s="129">
        <f t="shared" si="62"/>
        <v>65.337800000000001</v>
      </c>
      <c r="Z262" s="153">
        <f t="shared" si="54"/>
        <v>0</v>
      </c>
      <c r="AA262" s="248">
        <f t="shared" si="55"/>
        <v>0</v>
      </c>
      <c r="AB262" s="153">
        <f t="shared" si="63"/>
        <v>0</v>
      </c>
      <c r="AC262" s="248">
        <f t="shared" si="56"/>
        <v>0</v>
      </c>
      <c r="AD262" s="153">
        <f t="shared" si="57"/>
        <v>0</v>
      </c>
      <c r="AE262" s="248">
        <f t="shared" si="58"/>
        <v>0</v>
      </c>
      <c r="AF262" s="153">
        <f t="shared" si="64"/>
        <v>0</v>
      </c>
      <c r="AG262" s="248">
        <f t="shared" si="59"/>
        <v>0</v>
      </c>
      <c r="AH262" s="153">
        <f t="shared" si="65"/>
        <v>0</v>
      </c>
      <c r="AI262" s="153"/>
      <c r="AJ262" s="153">
        <f t="shared" si="66"/>
        <v>0</v>
      </c>
      <c r="AK262" s="153">
        <f t="shared" si="67"/>
        <v>0</v>
      </c>
      <c r="AL262" s="153"/>
      <c r="AM262" s="153">
        <f>AK261*W261+AK262*W262</f>
        <v>0</v>
      </c>
      <c r="AN262" s="153">
        <f>(SUM(AD261:AG261)*W261+SUM(AD262:AG262)*W262)*12*VLOOKUP(C262,JNovergang,3,1)</f>
        <v>0</v>
      </c>
      <c r="AO262" s="153">
        <f>AM262-AN262</f>
        <v>0</v>
      </c>
      <c r="AP262" s="153">
        <f>M262*(100+X262)%</f>
        <v>0</v>
      </c>
      <c r="AQ262" s="248">
        <f>ROUND(M262*F262,2)</f>
        <v>0</v>
      </c>
      <c r="AS262" s="248">
        <f>ROUND((AP262+AQ262)+AM262*(N262/12),0)</f>
        <v>0</v>
      </c>
      <c r="AT262" s="248">
        <f>ROUND(AM262*(O262/12),0)</f>
        <v>0</v>
      </c>
      <c r="AU262" s="248">
        <f>ROUND(AM262*(P262/12)*U262,0)</f>
        <v>0</v>
      </c>
      <c r="AW262" s="129">
        <f t="shared" si="68"/>
        <v>0</v>
      </c>
    </row>
    <row r="263" spans="1:49" x14ac:dyDescent="0.15">
      <c r="A263" s="157"/>
      <c r="B263" s="158"/>
      <c r="C263" s="158"/>
      <c r="D263" s="149" t="str">
        <f t="shared" si="70"/>
        <v xml:space="preserve"> </v>
      </c>
      <c r="E263" s="161"/>
      <c r="F263" s="261">
        <v>0</v>
      </c>
      <c r="G263" s="161">
        <v>37</v>
      </c>
      <c r="H263" s="161">
        <v>37</v>
      </c>
      <c r="I263" s="161"/>
      <c r="J263" s="163"/>
      <c r="K263" s="161"/>
      <c r="L263" s="163"/>
      <c r="M263" s="150"/>
      <c r="N263" s="150"/>
      <c r="O263" s="150"/>
      <c r="P263" s="150"/>
      <c r="Q263" s="151"/>
      <c r="R263" s="151"/>
      <c r="S263" s="152"/>
      <c r="V263" s="129">
        <f t="shared" si="60"/>
        <v>0</v>
      </c>
      <c r="W263" s="129">
        <f t="shared" si="61"/>
        <v>0</v>
      </c>
      <c r="X263" s="129">
        <f t="shared" si="69"/>
        <v>0</v>
      </c>
      <c r="Y263" s="129">
        <f t="shared" si="62"/>
        <v>65.337800000000001</v>
      </c>
      <c r="Z263" s="153">
        <f t="shared" si="54"/>
        <v>0</v>
      </c>
      <c r="AA263" s="248">
        <f t="shared" si="55"/>
        <v>0</v>
      </c>
      <c r="AB263" s="153">
        <f t="shared" si="63"/>
        <v>0</v>
      </c>
      <c r="AC263" s="248">
        <f t="shared" si="56"/>
        <v>0</v>
      </c>
      <c r="AD263" s="153">
        <f t="shared" si="57"/>
        <v>0</v>
      </c>
      <c r="AE263" s="248">
        <f t="shared" si="58"/>
        <v>0</v>
      </c>
      <c r="AF263" s="153">
        <f t="shared" si="64"/>
        <v>0</v>
      </c>
      <c r="AG263" s="248">
        <f t="shared" si="59"/>
        <v>0</v>
      </c>
      <c r="AH263" s="153">
        <f t="shared" si="65"/>
        <v>0</v>
      </c>
      <c r="AI263" s="153"/>
      <c r="AJ263" s="153">
        <f t="shared" si="66"/>
        <v>0</v>
      </c>
      <c r="AK263" s="153">
        <f t="shared" si="67"/>
        <v>0</v>
      </c>
      <c r="AL263" s="153"/>
      <c r="AM263" s="153"/>
      <c r="AN263" s="153"/>
      <c r="AQ263" s="153"/>
      <c r="AW263" s="129">
        <f t="shared" si="68"/>
        <v>0</v>
      </c>
    </row>
    <row r="264" spans="1:49" ht="9.75" thickBot="1" x14ac:dyDescent="0.2">
      <c r="A264" s="159"/>
      <c r="B264" s="160"/>
      <c r="C264" s="160"/>
      <c r="D264" s="154" t="str">
        <f>VLOOKUP(C264,Tabelændringskode,2,1)</f>
        <v xml:space="preserve"> </v>
      </c>
      <c r="E264" s="162"/>
      <c r="F264" s="262">
        <v>0</v>
      </c>
      <c r="G264" s="162">
        <v>37</v>
      </c>
      <c r="H264" s="162">
        <v>37</v>
      </c>
      <c r="I264" s="162"/>
      <c r="J264" s="164"/>
      <c r="K264" s="162"/>
      <c r="L264" s="164"/>
      <c r="M264" s="164"/>
      <c r="N264" s="162"/>
      <c r="O264" s="162"/>
      <c r="P264" s="162"/>
      <c r="Q264" s="155">
        <f>AS264</f>
        <v>0</v>
      </c>
      <c r="R264" s="155">
        <f>AT264</f>
        <v>0</v>
      </c>
      <c r="S264" s="156">
        <f>AU264</f>
        <v>0</v>
      </c>
      <c r="U264" s="129">
        <f>IF(OR(C263=5,C264=5),0,1)</f>
        <v>1</v>
      </c>
      <c r="V264" s="129">
        <f t="shared" si="60"/>
        <v>0</v>
      </c>
      <c r="W264" s="129">
        <f t="shared" si="61"/>
        <v>0</v>
      </c>
      <c r="X264" s="129">
        <f t="shared" si="69"/>
        <v>0</v>
      </c>
      <c r="Y264" s="129">
        <f t="shared" si="62"/>
        <v>65.337800000000001</v>
      </c>
      <c r="Z264" s="153">
        <f t="shared" si="54"/>
        <v>0</v>
      </c>
      <c r="AA264" s="248">
        <f t="shared" si="55"/>
        <v>0</v>
      </c>
      <c r="AB264" s="153">
        <f t="shared" si="63"/>
        <v>0</v>
      </c>
      <c r="AC264" s="248">
        <f t="shared" si="56"/>
        <v>0</v>
      </c>
      <c r="AD264" s="153">
        <f t="shared" si="57"/>
        <v>0</v>
      </c>
      <c r="AE264" s="248">
        <f t="shared" si="58"/>
        <v>0</v>
      </c>
      <c r="AF264" s="153">
        <f t="shared" si="64"/>
        <v>0</v>
      </c>
      <c r="AG264" s="248">
        <f t="shared" si="59"/>
        <v>0</v>
      </c>
      <c r="AH264" s="153">
        <f t="shared" si="65"/>
        <v>0</v>
      </c>
      <c r="AI264" s="153"/>
      <c r="AJ264" s="153">
        <f t="shared" si="66"/>
        <v>0</v>
      </c>
      <c r="AK264" s="153">
        <f t="shared" si="67"/>
        <v>0</v>
      </c>
      <c r="AL264" s="153"/>
      <c r="AM264" s="153">
        <f>AK263*W263+AK264*W264</f>
        <v>0</v>
      </c>
      <c r="AN264" s="153">
        <f>(SUM(AD263:AG263)*W263+SUM(AD264:AG264)*W264)*12*VLOOKUP(C264,JNovergang,3,1)</f>
        <v>0</v>
      </c>
      <c r="AO264" s="153">
        <f>AM264-AN264</f>
        <v>0</v>
      </c>
      <c r="AP264" s="153">
        <f>M264*(100+X264)%</f>
        <v>0</v>
      </c>
      <c r="AQ264" s="248">
        <f>ROUND(M264*F264,2)</f>
        <v>0</v>
      </c>
      <c r="AS264" s="248">
        <f>ROUND((AP264+AQ264)+AM264*(N264/12),0)</f>
        <v>0</v>
      </c>
      <c r="AT264" s="248">
        <f>ROUND(AM264*(O264/12),0)</f>
        <v>0</v>
      </c>
      <c r="AU264" s="248">
        <f>ROUND(AM264*(P264/12)*U264,0)</f>
        <v>0</v>
      </c>
      <c r="AW264" s="129">
        <f t="shared" si="68"/>
        <v>0</v>
      </c>
    </row>
    <row r="265" spans="1:49" x14ac:dyDescent="0.15">
      <c r="A265" s="157"/>
      <c r="B265" s="158"/>
      <c r="C265" s="158"/>
      <c r="D265" s="149" t="str">
        <f t="shared" si="70"/>
        <v xml:space="preserve"> </v>
      </c>
      <c r="E265" s="161"/>
      <c r="F265" s="261">
        <v>0</v>
      </c>
      <c r="G265" s="161">
        <v>37</v>
      </c>
      <c r="H265" s="161">
        <v>37</v>
      </c>
      <c r="I265" s="161"/>
      <c r="J265" s="163"/>
      <c r="K265" s="161"/>
      <c r="L265" s="163"/>
      <c r="M265" s="150"/>
      <c r="N265" s="150"/>
      <c r="O265" s="150"/>
      <c r="P265" s="150"/>
      <c r="Q265" s="151"/>
      <c r="R265" s="151"/>
      <c r="S265" s="152"/>
      <c r="V265" s="129">
        <f t="shared" si="60"/>
        <v>0</v>
      </c>
      <c r="W265" s="129">
        <f t="shared" si="61"/>
        <v>0</v>
      </c>
      <c r="X265" s="129">
        <f t="shared" si="69"/>
        <v>0</v>
      </c>
      <c r="Y265" s="129">
        <f t="shared" si="62"/>
        <v>65.337800000000001</v>
      </c>
      <c r="Z265" s="153">
        <f t="shared" si="54"/>
        <v>0</v>
      </c>
      <c r="AA265" s="248">
        <f t="shared" si="55"/>
        <v>0</v>
      </c>
      <c r="AB265" s="153">
        <f t="shared" si="63"/>
        <v>0</v>
      </c>
      <c r="AC265" s="248">
        <f t="shared" si="56"/>
        <v>0</v>
      </c>
      <c r="AD265" s="153">
        <f t="shared" si="57"/>
        <v>0</v>
      </c>
      <c r="AE265" s="248">
        <f t="shared" si="58"/>
        <v>0</v>
      </c>
      <c r="AF265" s="153">
        <f t="shared" si="64"/>
        <v>0</v>
      </c>
      <c r="AG265" s="248">
        <f t="shared" si="59"/>
        <v>0</v>
      </c>
      <c r="AH265" s="153">
        <f t="shared" si="65"/>
        <v>0</v>
      </c>
      <c r="AI265" s="153"/>
      <c r="AJ265" s="153">
        <f t="shared" si="66"/>
        <v>0</v>
      </c>
      <c r="AK265" s="153">
        <f t="shared" si="67"/>
        <v>0</v>
      </c>
      <c r="AL265" s="153"/>
      <c r="AM265" s="153"/>
      <c r="AN265" s="153"/>
      <c r="AQ265" s="153"/>
      <c r="AW265" s="129">
        <f t="shared" si="68"/>
        <v>0</v>
      </c>
    </row>
    <row r="266" spans="1:49" ht="9.75" thickBot="1" x14ac:dyDescent="0.2">
      <c r="A266" s="159"/>
      <c r="B266" s="160"/>
      <c r="C266" s="160"/>
      <c r="D266" s="154" t="str">
        <f>VLOOKUP(C266,Tabelændringskode,2,1)</f>
        <v xml:space="preserve"> </v>
      </c>
      <c r="E266" s="162"/>
      <c r="F266" s="262">
        <v>0</v>
      </c>
      <c r="G266" s="162">
        <v>37</v>
      </c>
      <c r="H266" s="162">
        <v>37</v>
      </c>
      <c r="I266" s="162"/>
      <c r="J266" s="164"/>
      <c r="K266" s="162"/>
      <c r="L266" s="164"/>
      <c r="M266" s="164"/>
      <c r="N266" s="162"/>
      <c r="O266" s="162"/>
      <c r="P266" s="162"/>
      <c r="Q266" s="155">
        <f>AS266</f>
        <v>0</v>
      </c>
      <c r="R266" s="155">
        <f>AT266</f>
        <v>0</v>
      </c>
      <c r="S266" s="156">
        <f>AU266</f>
        <v>0</v>
      </c>
      <c r="U266" s="129">
        <f>IF(OR(C265=5,C266=5),0,1)</f>
        <v>1</v>
      </c>
      <c r="V266" s="129">
        <f t="shared" si="60"/>
        <v>0</v>
      </c>
      <c r="W266" s="129">
        <f t="shared" si="61"/>
        <v>0</v>
      </c>
      <c r="X266" s="129">
        <f t="shared" si="69"/>
        <v>0</v>
      </c>
      <c r="Y266" s="129">
        <f t="shared" si="62"/>
        <v>65.337800000000001</v>
      </c>
      <c r="Z266" s="153">
        <f t="shared" si="54"/>
        <v>0</v>
      </c>
      <c r="AA266" s="248">
        <f t="shared" si="55"/>
        <v>0</v>
      </c>
      <c r="AB266" s="153">
        <f t="shared" si="63"/>
        <v>0</v>
      </c>
      <c r="AC266" s="248">
        <f t="shared" si="56"/>
        <v>0</v>
      </c>
      <c r="AD266" s="153">
        <f t="shared" si="57"/>
        <v>0</v>
      </c>
      <c r="AE266" s="248">
        <f t="shared" si="58"/>
        <v>0</v>
      </c>
      <c r="AF266" s="153">
        <f t="shared" si="64"/>
        <v>0</v>
      </c>
      <c r="AG266" s="248">
        <f t="shared" si="59"/>
        <v>0</v>
      </c>
      <c r="AH266" s="153">
        <f t="shared" si="65"/>
        <v>0</v>
      </c>
      <c r="AI266" s="153"/>
      <c r="AJ266" s="153">
        <f t="shared" si="66"/>
        <v>0</v>
      </c>
      <c r="AK266" s="153">
        <f t="shared" si="67"/>
        <v>0</v>
      </c>
      <c r="AL266" s="153"/>
      <c r="AM266" s="153">
        <f>AK265*W265+AK266*W266</f>
        <v>0</v>
      </c>
      <c r="AN266" s="153">
        <f>(SUM(AD265:AG265)*W265+SUM(AD266:AG266)*W266)*12*VLOOKUP(C266,JNovergang,3,1)</f>
        <v>0</v>
      </c>
      <c r="AO266" s="153">
        <f>AM266-AN266</f>
        <v>0</v>
      </c>
      <c r="AP266" s="153">
        <f>M266*(100+X266)%</f>
        <v>0</v>
      </c>
      <c r="AQ266" s="248">
        <f>ROUND(M266*F266,2)</f>
        <v>0</v>
      </c>
      <c r="AS266" s="248">
        <f>ROUND((AP266+AQ266)+AM266*(N266/12),0)</f>
        <v>0</v>
      </c>
      <c r="AT266" s="248">
        <f>ROUND(AM266*(O266/12),0)</f>
        <v>0</v>
      </c>
      <c r="AU266" s="248">
        <f>ROUND(AM266*(P266/12)*U266,0)</f>
        <v>0</v>
      </c>
      <c r="AW266" s="129">
        <f t="shared" si="68"/>
        <v>0</v>
      </c>
    </row>
    <row r="267" spans="1:49" x14ac:dyDescent="0.15">
      <c r="A267" s="157"/>
      <c r="B267" s="158"/>
      <c r="C267" s="158"/>
      <c r="D267" s="149" t="str">
        <f t="shared" si="70"/>
        <v xml:space="preserve"> </v>
      </c>
      <c r="E267" s="161"/>
      <c r="F267" s="261">
        <v>0</v>
      </c>
      <c r="G267" s="161">
        <v>37</v>
      </c>
      <c r="H267" s="161">
        <v>37</v>
      </c>
      <c r="I267" s="161"/>
      <c r="J267" s="163"/>
      <c r="K267" s="161"/>
      <c r="L267" s="163"/>
      <c r="M267" s="150"/>
      <c r="N267" s="150"/>
      <c r="O267" s="150"/>
      <c r="P267" s="150"/>
      <c r="Q267" s="151"/>
      <c r="R267" s="151"/>
      <c r="S267" s="152"/>
      <c r="V267" s="129">
        <f t="shared" si="60"/>
        <v>0</v>
      </c>
      <c r="W267" s="129">
        <f t="shared" si="61"/>
        <v>0</v>
      </c>
      <c r="X267" s="129">
        <f t="shared" si="69"/>
        <v>0</v>
      </c>
      <c r="Y267" s="129">
        <f t="shared" si="62"/>
        <v>65.337800000000001</v>
      </c>
      <c r="Z267" s="153">
        <f t="shared" si="54"/>
        <v>0</v>
      </c>
      <c r="AA267" s="248">
        <f t="shared" si="55"/>
        <v>0</v>
      </c>
      <c r="AB267" s="153">
        <f t="shared" si="63"/>
        <v>0</v>
      </c>
      <c r="AC267" s="248">
        <f t="shared" si="56"/>
        <v>0</v>
      </c>
      <c r="AD267" s="153">
        <f t="shared" si="57"/>
        <v>0</v>
      </c>
      <c r="AE267" s="248">
        <f t="shared" si="58"/>
        <v>0</v>
      </c>
      <c r="AF267" s="153">
        <f t="shared" si="64"/>
        <v>0</v>
      </c>
      <c r="AG267" s="248">
        <f t="shared" si="59"/>
        <v>0</v>
      </c>
      <c r="AH267" s="153">
        <f t="shared" si="65"/>
        <v>0</v>
      </c>
      <c r="AI267" s="153"/>
      <c r="AJ267" s="153">
        <f t="shared" si="66"/>
        <v>0</v>
      </c>
      <c r="AK267" s="153">
        <f t="shared" si="67"/>
        <v>0</v>
      </c>
      <c r="AL267" s="153"/>
      <c r="AM267" s="153"/>
      <c r="AN267" s="153"/>
      <c r="AQ267" s="153"/>
      <c r="AW267" s="129">
        <f t="shared" si="68"/>
        <v>0</v>
      </c>
    </row>
    <row r="268" spans="1:49" ht="9.75" thickBot="1" x14ac:dyDescent="0.2">
      <c r="A268" s="159"/>
      <c r="B268" s="160"/>
      <c r="C268" s="160"/>
      <c r="D268" s="154" t="str">
        <f>VLOOKUP(C268,Tabelændringskode,2,1)</f>
        <v xml:space="preserve"> </v>
      </c>
      <c r="E268" s="162"/>
      <c r="F268" s="262">
        <v>0</v>
      </c>
      <c r="G268" s="162">
        <v>37</v>
      </c>
      <c r="H268" s="162">
        <v>37</v>
      </c>
      <c r="I268" s="162"/>
      <c r="J268" s="164"/>
      <c r="K268" s="162"/>
      <c r="L268" s="164"/>
      <c r="M268" s="164"/>
      <c r="N268" s="162"/>
      <c r="O268" s="162"/>
      <c r="P268" s="162"/>
      <c r="Q268" s="155">
        <f>AS268</f>
        <v>0</v>
      </c>
      <c r="R268" s="155">
        <f>AT268</f>
        <v>0</v>
      </c>
      <c r="S268" s="156">
        <f>AU268</f>
        <v>0</v>
      </c>
      <c r="U268" s="129">
        <f>IF(OR(C267=5,C268=5),0,1)</f>
        <v>1</v>
      </c>
      <c r="V268" s="129">
        <f t="shared" si="60"/>
        <v>0</v>
      </c>
      <c r="W268" s="129">
        <f t="shared" si="61"/>
        <v>0</v>
      </c>
      <c r="X268" s="129">
        <f t="shared" si="69"/>
        <v>0</v>
      </c>
      <c r="Y268" s="129">
        <f t="shared" si="62"/>
        <v>65.337800000000001</v>
      </c>
      <c r="Z268" s="153">
        <f t="shared" si="54"/>
        <v>0</v>
      </c>
      <c r="AA268" s="248">
        <f t="shared" si="55"/>
        <v>0</v>
      </c>
      <c r="AB268" s="153">
        <f t="shared" si="63"/>
        <v>0</v>
      </c>
      <c r="AC268" s="248">
        <f t="shared" si="56"/>
        <v>0</v>
      </c>
      <c r="AD268" s="153">
        <f t="shared" si="57"/>
        <v>0</v>
      </c>
      <c r="AE268" s="248">
        <f t="shared" si="58"/>
        <v>0</v>
      </c>
      <c r="AF268" s="153">
        <f t="shared" si="64"/>
        <v>0</v>
      </c>
      <c r="AG268" s="248">
        <f t="shared" si="59"/>
        <v>0</v>
      </c>
      <c r="AH268" s="153">
        <f t="shared" si="65"/>
        <v>0</v>
      </c>
      <c r="AI268" s="153"/>
      <c r="AJ268" s="153">
        <f t="shared" si="66"/>
        <v>0</v>
      </c>
      <c r="AK268" s="153">
        <f t="shared" si="67"/>
        <v>0</v>
      </c>
      <c r="AL268" s="153"/>
      <c r="AM268" s="153">
        <f>AK267*W267+AK268*W268</f>
        <v>0</v>
      </c>
      <c r="AN268" s="153">
        <f>(SUM(AD267:AG267)*W267+SUM(AD268:AG268)*W268)*12*VLOOKUP(C268,JNovergang,3,1)</f>
        <v>0</v>
      </c>
      <c r="AO268" s="153">
        <f>AM268-AN268</f>
        <v>0</v>
      </c>
      <c r="AP268" s="153">
        <f>M268*(100+X268)%</f>
        <v>0</v>
      </c>
      <c r="AQ268" s="248">
        <f>ROUND(M268*F268,2)</f>
        <v>0</v>
      </c>
      <c r="AS268" s="248">
        <f>ROUND((AP268+AQ268)+AM268*(N268/12),0)</f>
        <v>0</v>
      </c>
      <c r="AT268" s="248">
        <f>ROUND(AM268*(O268/12),0)</f>
        <v>0</v>
      </c>
      <c r="AU268" s="248">
        <f>ROUND(AM268*(P268/12)*U268,0)</f>
        <v>0</v>
      </c>
      <c r="AW268" s="129">
        <f t="shared" si="68"/>
        <v>0</v>
      </c>
    </row>
    <row r="269" spans="1:49" x14ac:dyDescent="0.15">
      <c r="A269" s="157"/>
      <c r="B269" s="158"/>
      <c r="C269" s="158"/>
      <c r="D269" s="149" t="str">
        <f t="shared" si="70"/>
        <v xml:space="preserve"> </v>
      </c>
      <c r="E269" s="161"/>
      <c r="F269" s="261">
        <v>0</v>
      </c>
      <c r="G269" s="161">
        <v>37</v>
      </c>
      <c r="H269" s="161">
        <v>37</v>
      </c>
      <c r="I269" s="161"/>
      <c r="J269" s="163"/>
      <c r="K269" s="161"/>
      <c r="L269" s="163"/>
      <c r="M269" s="150"/>
      <c r="N269" s="150"/>
      <c r="O269" s="150"/>
      <c r="P269" s="150"/>
      <c r="Q269" s="151"/>
      <c r="R269" s="151"/>
      <c r="S269" s="152"/>
      <c r="V269" s="129">
        <f t="shared" si="60"/>
        <v>0</v>
      </c>
      <c r="W269" s="129">
        <f t="shared" si="61"/>
        <v>0</v>
      </c>
      <c r="X269" s="129">
        <f t="shared" si="69"/>
        <v>0</v>
      </c>
      <c r="Y269" s="129">
        <f t="shared" si="62"/>
        <v>65.337800000000001</v>
      </c>
      <c r="Z269" s="153">
        <f t="shared" si="54"/>
        <v>0</v>
      </c>
      <c r="AA269" s="248">
        <f t="shared" si="55"/>
        <v>0</v>
      </c>
      <c r="AB269" s="153">
        <f t="shared" si="63"/>
        <v>0</v>
      </c>
      <c r="AC269" s="248">
        <f t="shared" si="56"/>
        <v>0</v>
      </c>
      <c r="AD269" s="153">
        <f t="shared" si="57"/>
        <v>0</v>
      </c>
      <c r="AE269" s="248">
        <f t="shared" si="58"/>
        <v>0</v>
      </c>
      <c r="AF269" s="153">
        <f t="shared" si="64"/>
        <v>0</v>
      </c>
      <c r="AG269" s="248">
        <f t="shared" si="59"/>
        <v>0</v>
      </c>
      <c r="AH269" s="153">
        <f t="shared" si="65"/>
        <v>0</v>
      </c>
      <c r="AI269" s="153"/>
      <c r="AJ269" s="153">
        <f t="shared" si="66"/>
        <v>0</v>
      </c>
      <c r="AK269" s="153">
        <f t="shared" si="67"/>
        <v>0</v>
      </c>
      <c r="AL269" s="153"/>
      <c r="AM269" s="153"/>
      <c r="AN269" s="153"/>
      <c r="AQ269" s="153"/>
      <c r="AW269" s="129">
        <f t="shared" si="68"/>
        <v>0</v>
      </c>
    </row>
    <row r="270" spans="1:49" ht="9.75" thickBot="1" x14ac:dyDescent="0.2">
      <c r="A270" s="159"/>
      <c r="B270" s="160"/>
      <c r="C270" s="160"/>
      <c r="D270" s="154" t="str">
        <f>VLOOKUP(C270,Tabelændringskode,2,1)</f>
        <v xml:space="preserve"> </v>
      </c>
      <c r="E270" s="162"/>
      <c r="F270" s="262">
        <v>0</v>
      </c>
      <c r="G270" s="162">
        <v>37</v>
      </c>
      <c r="H270" s="162">
        <v>37</v>
      </c>
      <c r="I270" s="162"/>
      <c r="J270" s="164"/>
      <c r="K270" s="162"/>
      <c r="L270" s="164"/>
      <c r="M270" s="164"/>
      <c r="N270" s="162"/>
      <c r="O270" s="162"/>
      <c r="P270" s="162"/>
      <c r="Q270" s="155">
        <f>AS270</f>
        <v>0</v>
      </c>
      <c r="R270" s="155">
        <f>AT270</f>
        <v>0</v>
      </c>
      <c r="S270" s="156">
        <f>AU270</f>
        <v>0</v>
      </c>
      <c r="U270" s="129">
        <f>IF(OR(C269=5,C270=5),0,1)</f>
        <v>1</v>
      </c>
      <c r="V270" s="129">
        <f t="shared" si="60"/>
        <v>0</v>
      </c>
      <c r="W270" s="129">
        <f t="shared" si="61"/>
        <v>0</v>
      </c>
      <c r="X270" s="129">
        <f t="shared" si="69"/>
        <v>0</v>
      </c>
      <c r="Y270" s="129">
        <f t="shared" si="62"/>
        <v>65.337800000000001</v>
      </c>
      <c r="Z270" s="153">
        <f t="shared" si="54"/>
        <v>0</v>
      </c>
      <c r="AA270" s="248">
        <f t="shared" si="55"/>
        <v>0</v>
      </c>
      <c r="AB270" s="153">
        <f t="shared" si="63"/>
        <v>0</v>
      </c>
      <c r="AC270" s="248">
        <f t="shared" si="56"/>
        <v>0</v>
      </c>
      <c r="AD270" s="153">
        <f t="shared" si="57"/>
        <v>0</v>
      </c>
      <c r="AE270" s="248">
        <f t="shared" si="58"/>
        <v>0</v>
      </c>
      <c r="AF270" s="153">
        <f t="shared" si="64"/>
        <v>0</v>
      </c>
      <c r="AG270" s="248">
        <f t="shared" si="59"/>
        <v>0</v>
      </c>
      <c r="AH270" s="153">
        <f t="shared" si="65"/>
        <v>0</v>
      </c>
      <c r="AI270" s="153"/>
      <c r="AJ270" s="153">
        <f t="shared" si="66"/>
        <v>0</v>
      </c>
      <c r="AK270" s="153">
        <f t="shared" si="67"/>
        <v>0</v>
      </c>
      <c r="AL270" s="153"/>
      <c r="AM270" s="153">
        <f>AK269*W269+AK270*W270</f>
        <v>0</v>
      </c>
      <c r="AN270" s="153">
        <f>(SUM(AD269:AG269)*W269+SUM(AD270:AG270)*W270)*12*VLOOKUP(C270,JNovergang,3,1)</f>
        <v>0</v>
      </c>
      <c r="AO270" s="153">
        <f>AM270-AN270</f>
        <v>0</v>
      </c>
      <c r="AP270" s="153">
        <f>M270*(100+X270)%</f>
        <v>0</v>
      </c>
      <c r="AQ270" s="248">
        <f>ROUND(M270*F270,2)</f>
        <v>0</v>
      </c>
      <c r="AS270" s="248">
        <f>ROUND((AP270+AQ270)+AM270*(N270/12),0)</f>
        <v>0</v>
      </c>
      <c r="AT270" s="248">
        <f>ROUND(AM270*(O270/12),0)</f>
        <v>0</v>
      </c>
      <c r="AU270" s="248">
        <f>ROUND(AM270*(P270/12)*U270,0)</f>
        <v>0</v>
      </c>
      <c r="AW270" s="129">
        <f t="shared" si="68"/>
        <v>0</v>
      </c>
    </row>
    <row r="271" spans="1:49" x14ac:dyDescent="0.15">
      <c r="A271" s="157"/>
      <c r="B271" s="158"/>
      <c r="C271" s="158"/>
      <c r="D271" s="149" t="str">
        <f t="shared" si="70"/>
        <v xml:space="preserve"> </v>
      </c>
      <c r="E271" s="161"/>
      <c r="F271" s="261">
        <v>0</v>
      </c>
      <c r="G271" s="161">
        <v>37</v>
      </c>
      <c r="H271" s="161">
        <v>37</v>
      </c>
      <c r="I271" s="161"/>
      <c r="J271" s="163"/>
      <c r="K271" s="161"/>
      <c r="L271" s="163"/>
      <c r="M271" s="150"/>
      <c r="N271" s="150"/>
      <c r="O271" s="150"/>
      <c r="P271" s="150"/>
      <c r="Q271" s="151"/>
      <c r="R271" s="151"/>
      <c r="S271" s="152"/>
      <c r="V271" s="129">
        <f t="shared" si="60"/>
        <v>0</v>
      </c>
      <c r="W271" s="129">
        <f t="shared" si="61"/>
        <v>0</v>
      </c>
      <c r="X271" s="129">
        <f t="shared" si="69"/>
        <v>0</v>
      </c>
      <c r="Y271" s="129">
        <f t="shared" si="62"/>
        <v>65.337800000000001</v>
      </c>
      <c r="Z271" s="153">
        <f t="shared" si="54"/>
        <v>0</v>
      </c>
      <c r="AA271" s="248">
        <f t="shared" si="55"/>
        <v>0</v>
      </c>
      <c r="AB271" s="153">
        <f t="shared" si="63"/>
        <v>0</v>
      </c>
      <c r="AC271" s="248">
        <f t="shared" si="56"/>
        <v>0</v>
      </c>
      <c r="AD271" s="153">
        <f t="shared" si="57"/>
        <v>0</v>
      </c>
      <c r="AE271" s="248">
        <f t="shared" si="58"/>
        <v>0</v>
      </c>
      <c r="AF271" s="153">
        <f t="shared" si="64"/>
        <v>0</v>
      </c>
      <c r="AG271" s="248">
        <f t="shared" si="59"/>
        <v>0</v>
      </c>
      <c r="AH271" s="153">
        <f t="shared" si="65"/>
        <v>0</v>
      </c>
      <c r="AI271" s="153"/>
      <c r="AJ271" s="153">
        <f t="shared" si="66"/>
        <v>0</v>
      </c>
      <c r="AK271" s="153">
        <f t="shared" si="67"/>
        <v>0</v>
      </c>
      <c r="AL271" s="153"/>
      <c r="AM271" s="153"/>
      <c r="AN271" s="153"/>
      <c r="AQ271" s="153"/>
      <c r="AW271" s="129">
        <f t="shared" si="68"/>
        <v>0</v>
      </c>
    </row>
    <row r="272" spans="1:49" ht="9.75" thickBot="1" x14ac:dyDescent="0.2">
      <c r="A272" s="159"/>
      <c r="B272" s="160"/>
      <c r="C272" s="160"/>
      <c r="D272" s="154" t="str">
        <f>VLOOKUP(C272,Tabelændringskode,2,1)</f>
        <v xml:space="preserve"> </v>
      </c>
      <c r="E272" s="162"/>
      <c r="F272" s="262">
        <v>0</v>
      </c>
      <c r="G272" s="162">
        <v>37</v>
      </c>
      <c r="H272" s="162">
        <v>37</v>
      </c>
      <c r="I272" s="162"/>
      <c r="J272" s="164"/>
      <c r="K272" s="162"/>
      <c r="L272" s="164"/>
      <c r="M272" s="164"/>
      <c r="N272" s="162"/>
      <c r="O272" s="162"/>
      <c r="P272" s="162"/>
      <c r="Q272" s="155">
        <f>AS272</f>
        <v>0</v>
      </c>
      <c r="R272" s="155">
        <f>AT272</f>
        <v>0</v>
      </c>
      <c r="S272" s="156">
        <f>AU272</f>
        <v>0</v>
      </c>
      <c r="U272" s="129">
        <f>IF(OR(C271=5,C272=5),0,1)</f>
        <v>1</v>
      </c>
      <c r="V272" s="129">
        <f t="shared" si="60"/>
        <v>0</v>
      </c>
      <c r="W272" s="129">
        <f t="shared" si="61"/>
        <v>0</v>
      </c>
      <c r="X272" s="129">
        <f t="shared" si="69"/>
        <v>0</v>
      </c>
      <c r="Y272" s="129">
        <f t="shared" si="62"/>
        <v>65.337800000000001</v>
      </c>
      <c r="Z272" s="153">
        <f t="shared" si="54"/>
        <v>0</v>
      </c>
      <c r="AA272" s="248">
        <f t="shared" si="55"/>
        <v>0</v>
      </c>
      <c r="AB272" s="153">
        <f t="shared" si="63"/>
        <v>0</v>
      </c>
      <c r="AC272" s="248">
        <f t="shared" si="56"/>
        <v>0</v>
      </c>
      <c r="AD272" s="153">
        <f t="shared" si="57"/>
        <v>0</v>
      </c>
      <c r="AE272" s="248">
        <f t="shared" si="58"/>
        <v>0</v>
      </c>
      <c r="AF272" s="153">
        <f t="shared" si="64"/>
        <v>0</v>
      </c>
      <c r="AG272" s="248">
        <f t="shared" si="59"/>
        <v>0</v>
      </c>
      <c r="AH272" s="153">
        <f t="shared" si="65"/>
        <v>0</v>
      </c>
      <c r="AI272" s="153"/>
      <c r="AJ272" s="153">
        <f t="shared" si="66"/>
        <v>0</v>
      </c>
      <c r="AK272" s="153">
        <f t="shared" si="67"/>
        <v>0</v>
      </c>
      <c r="AL272" s="153"/>
      <c r="AM272" s="153">
        <f>AK271*W271+AK272*W272</f>
        <v>0</v>
      </c>
      <c r="AN272" s="153">
        <f>(SUM(AD271:AG271)*W271+SUM(AD272:AG272)*W272)*12*VLOOKUP(C272,JNovergang,3,1)</f>
        <v>0</v>
      </c>
      <c r="AO272" s="153">
        <f>AM272-AN272</f>
        <v>0</v>
      </c>
      <c r="AP272" s="153">
        <f>M272*(100+X272)%</f>
        <v>0</v>
      </c>
      <c r="AQ272" s="248">
        <f>ROUND(M272*F272,2)</f>
        <v>0</v>
      </c>
      <c r="AS272" s="248">
        <f>ROUND((AP272+AQ272)+AM272*(N272/12),0)</f>
        <v>0</v>
      </c>
      <c r="AT272" s="248">
        <f>ROUND(AM272*(O272/12),0)</f>
        <v>0</v>
      </c>
      <c r="AU272" s="248">
        <f>ROUND(AM272*(P272/12)*U272,0)</f>
        <v>0</v>
      </c>
      <c r="AW272" s="129">
        <f t="shared" si="68"/>
        <v>0</v>
      </c>
    </row>
    <row r="273" spans="1:49" x14ac:dyDescent="0.15">
      <c r="A273" s="157"/>
      <c r="B273" s="158"/>
      <c r="C273" s="158"/>
      <c r="D273" s="149" t="str">
        <f t="shared" si="70"/>
        <v xml:space="preserve"> </v>
      </c>
      <c r="E273" s="161"/>
      <c r="F273" s="261">
        <v>0</v>
      </c>
      <c r="G273" s="161">
        <v>37</v>
      </c>
      <c r="H273" s="161">
        <v>37</v>
      </c>
      <c r="I273" s="161"/>
      <c r="J273" s="163"/>
      <c r="K273" s="161"/>
      <c r="L273" s="163"/>
      <c r="M273" s="150"/>
      <c r="N273" s="150"/>
      <c r="O273" s="150"/>
      <c r="P273" s="150"/>
      <c r="Q273" s="151"/>
      <c r="R273" s="151"/>
      <c r="S273" s="152"/>
      <c r="V273" s="129">
        <f t="shared" si="60"/>
        <v>0</v>
      </c>
      <c r="W273" s="129">
        <f t="shared" si="61"/>
        <v>0</v>
      </c>
      <c r="X273" s="129">
        <f t="shared" si="69"/>
        <v>0</v>
      </c>
      <c r="Y273" s="129">
        <f t="shared" si="62"/>
        <v>65.337800000000001</v>
      </c>
      <c r="Z273" s="153">
        <f t="shared" si="54"/>
        <v>0</v>
      </c>
      <c r="AA273" s="248">
        <f t="shared" si="55"/>
        <v>0</v>
      </c>
      <c r="AB273" s="153">
        <f t="shared" si="63"/>
        <v>0</v>
      </c>
      <c r="AC273" s="248">
        <f t="shared" si="56"/>
        <v>0</v>
      </c>
      <c r="AD273" s="153">
        <f t="shared" si="57"/>
        <v>0</v>
      </c>
      <c r="AE273" s="248">
        <f t="shared" si="58"/>
        <v>0</v>
      </c>
      <c r="AF273" s="153">
        <f t="shared" si="64"/>
        <v>0</v>
      </c>
      <c r="AG273" s="248">
        <f t="shared" si="59"/>
        <v>0</v>
      </c>
      <c r="AH273" s="153">
        <f t="shared" si="65"/>
        <v>0</v>
      </c>
      <c r="AI273" s="153"/>
      <c r="AJ273" s="153">
        <f t="shared" si="66"/>
        <v>0</v>
      </c>
      <c r="AK273" s="153">
        <f t="shared" si="67"/>
        <v>0</v>
      </c>
      <c r="AL273" s="153"/>
      <c r="AM273" s="153"/>
      <c r="AN273" s="153"/>
      <c r="AQ273" s="153"/>
      <c r="AW273" s="129">
        <f t="shared" si="68"/>
        <v>0</v>
      </c>
    </row>
    <row r="274" spans="1:49" ht="9.75" thickBot="1" x14ac:dyDescent="0.2">
      <c r="A274" s="159"/>
      <c r="B274" s="160"/>
      <c r="C274" s="160"/>
      <c r="D274" s="154" t="str">
        <f>VLOOKUP(C274,Tabelændringskode,2,1)</f>
        <v xml:space="preserve"> </v>
      </c>
      <c r="E274" s="162"/>
      <c r="F274" s="262">
        <v>0</v>
      </c>
      <c r="G274" s="162">
        <v>37</v>
      </c>
      <c r="H274" s="162">
        <v>37</v>
      </c>
      <c r="I274" s="162"/>
      <c r="J274" s="164"/>
      <c r="K274" s="162"/>
      <c r="L274" s="164"/>
      <c r="M274" s="164"/>
      <c r="N274" s="162"/>
      <c r="O274" s="162"/>
      <c r="P274" s="162"/>
      <c r="Q274" s="155">
        <f>AS274</f>
        <v>0</v>
      </c>
      <c r="R274" s="155">
        <f>AT274</f>
        <v>0</v>
      </c>
      <c r="S274" s="156">
        <f>AU274</f>
        <v>0</v>
      </c>
      <c r="U274" s="129">
        <f>IF(OR(C273=5,C274=5),0,1)</f>
        <v>1</v>
      </c>
      <c r="V274" s="129">
        <f t="shared" si="60"/>
        <v>0</v>
      </c>
      <c r="W274" s="129">
        <f t="shared" si="61"/>
        <v>0</v>
      </c>
      <c r="X274" s="129">
        <f t="shared" si="69"/>
        <v>0</v>
      </c>
      <c r="Y274" s="129">
        <f t="shared" si="62"/>
        <v>65.337800000000001</v>
      </c>
      <c r="Z274" s="153">
        <f t="shared" si="54"/>
        <v>0</v>
      </c>
      <c r="AA274" s="248">
        <f t="shared" si="55"/>
        <v>0</v>
      </c>
      <c r="AB274" s="153">
        <f t="shared" si="63"/>
        <v>0</v>
      </c>
      <c r="AC274" s="248">
        <f t="shared" si="56"/>
        <v>0</v>
      </c>
      <c r="AD274" s="153">
        <f t="shared" si="57"/>
        <v>0</v>
      </c>
      <c r="AE274" s="248">
        <f t="shared" si="58"/>
        <v>0</v>
      </c>
      <c r="AF274" s="153">
        <f t="shared" si="64"/>
        <v>0</v>
      </c>
      <c r="AG274" s="248">
        <f t="shared" si="59"/>
        <v>0</v>
      </c>
      <c r="AH274" s="153">
        <f t="shared" si="65"/>
        <v>0</v>
      </c>
      <c r="AI274" s="153"/>
      <c r="AJ274" s="153">
        <f t="shared" si="66"/>
        <v>0</v>
      </c>
      <c r="AK274" s="153">
        <f t="shared" si="67"/>
        <v>0</v>
      </c>
      <c r="AL274" s="153"/>
      <c r="AM274" s="153">
        <f>AK273*W273+AK274*W274</f>
        <v>0</v>
      </c>
      <c r="AN274" s="153">
        <f>(SUM(AD273:AG273)*W273+SUM(AD274:AG274)*W274)*12*VLOOKUP(C274,JNovergang,3,1)</f>
        <v>0</v>
      </c>
      <c r="AO274" s="153">
        <f>AM274-AN274</f>
        <v>0</v>
      </c>
      <c r="AP274" s="153">
        <f>M274*(100+X274)%</f>
        <v>0</v>
      </c>
      <c r="AQ274" s="248">
        <f>ROUND(M274*F274,2)</f>
        <v>0</v>
      </c>
      <c r="AS274" s="248">
        <f>ROUND((AP274+AQ274)+AM274*(N274/12),0)</f>
        <v>0</v>
      </c>
      <c r="AT274" s="248">
        <f>ROUND(AM274*(O274/12),0)</f>
        <v>0</v>
      </c>
      <c r="AU274" s="248">
        <f>ROUND(AM274*(P274/12)*U274,0)</f>
        <v>0</v>
      </c>
      <c r="AW274" s="129">
        <f t="shared" si="68"/>
        <v>0</v>
      </c>
    </row>
    <row r="275" spans="1:49" x14ac:dyDescent="0.15">
      <c r="A275" s="157"/>
      <c r="B275" s="158"/>
      <c r="C275" s="158"/>
      <c r="D275" s="149" t="str">
        <f t="shared" si="70"/>
        <v xml:space="preserve"> </v>
      </c>
      <c r="E275" s="161"/>
      <c r="F275" s="261">
        <v>0</v>
      </c>
      <c r="G275" s="161">
        <v>37</v>
      </c>
      <c r="H275" s="161">
        <v>37</v>
      </c>
      <c r="I275" s="161"/>
      <c r="J275" s="163"/>
      <c r="K275" s="161"/>
      <c r="L275" s="163"/>
      <c r="M275" s="150"/>
      <c r="N275" s="150"/>
      <c r="O275" s="150"/>
      <c r="P275" s="150"/>
      <c r="Q275" s="151"/>
      <c r="R275" s="151"/>
      <c r="S275" s="152"/>
      <c r="V275" s="129">
        <f t="shared" si="60"/>
        <v>0</v>
      </c>
      <c r="W275" s="129">
        <f t="shared" si="61"/>
        <v>0</v>
      </c>
      <c r="X275" s="129">
        <f t="shared" si="69"/>
        <v>0</v>
      </c>
      <c r="Y275" s="129">
        <f t="shared" si="62"/>
        <v>65.337800000000001</v>
      </c>
      <c r="Z275" s="153">
        <f t="shared" si="54"/>
        <v>0</v>
      </c>
      <c r="AA275" s="248">
        <f t="shared" si="55"/>
        <v>0</v>
      </c>
      <c r="AB275" s="153">
        <f t="shared" si="63"/>
        <v>0</v>
      </c>
      <c r="AC275" s="248">
        <f t="shared" si="56"/>
        <v>0</v>
      </c>
      <c r="AD275" s="153">
        <f t="shared" si="57"/>
        <v>0</v>
      </c>
      <c r="AE275" s="248">
        <f t="shared" si="58"/>
        <v>0</v>
      </c>
      <c r="AF275" s="153">
        <f t="shared" si="64"/>
        <v>0</v>
      </c>
      <c r="AG275" s="248">
        <f t="shared" si="59"/>
        <v>0</v>
      </c>
      <c r="AH275" s="153">
        <f t="shared" si="65"/>
        <v>0</v>
      </c>
      <c r="AI275" s="153"/>
      <c r="AJ275" s="153">
        <f t="shared" si="66"/>
        <v>0</v>
      </c>
      <c r="AK275" s="153">
        <f t="shared" si="67"/>
        <v>0</v>
      </c>
      <c r="AL275" s="153"/>
      <c r="AM275" s="153"/>
      <c r="AN275" s="153"/>
      <c r="AQ275" s="153"/>
      <c r="AW275" s="129">
        <f t="shared" si="68"/>
        <v>0</v>
      </c>
    </row>
    <row r="276" spans="1:49" ht="9.75" thickBot="1" x14ac:dyDescent="0.2">
      <c r="A276" s="159"/>
      <c r="B276" s="160"/>
      <c r="C276" s="160"/>
      <c r="D276" s="154" t="str">
        <f>VLOOKUP(C276,Tabelændringskode,2,1)</f>
        <v xml:space="preserve"> </v>
      </c>
      <c r="E276" s="162"/>
      <c r="F276" s="262">
        <v>0</v>
      </c>
      <c r="G276" s="162">
        <v>37</v>
      </c>
      <c r="H276" s="162">
        <v>37</v>
      </c>
      <c r="I276" s="162"/>
      <c r="J276" s="164"/>
      <c r="K276" s="162"/>
      <c r="L276" s="164"/>
      <c r="M276" s="164"/>
      <c r="N276" s="162"/>
      <c r="O276" s="162"/>
      <c r="P276" s="162"/>
      <c r="Q276" s="155">
        <f>AS276</f>
        <v>0</v>
      </c>
      <c r="R276" s="155">
        <f>AT276</f>
        <v>0</v>
      </c>
      <c r="S276" s="156">
        <f>AU276</f>
        <v>0</v>
      </c>
      <c r="U276" s="129">
        <f>IF(OR(C275=5,C276=5),0,1)</f>
        <v>1</v>
      </c>
      <c r="V276" s="129">
        <f t="shared" si="60"/>
        <v>0</v>
      </c>
      <c r="W276" s="129">
        <f t="shared" si="61"/>
        <v>0</v>
      </c>
      <c r="X276" s="129">
        <f t="shared" si="69"/>
        <v>0</v>
      </c>
      <c r="Y276" s="129">
        <f t="shared" si="62"/>
        <v>65.337800000000001</v>
      </c>
      <c r="Z276" s="153">
        <f t="shared" si="54"/>
        <v>0</v>
      </c>
      <c r="AA276" s="248">
        <f t="shared" si="55"/>
        <v>0</v>
      </c>
      <c r="AB276" s="153">
        <f t="shared" si="63"/>
        <v>0</v>
      </c>
      <c r="AC276" s="248">
        <f t="shared" si="56"/>
        <v>0</v>
      </c>
      <c r="AD276" s="153">
        <f t="shared" si="57"/>
        <v>0</v>
      </c>
      <c r="AE276" s="248">
        <f t="shared" si="58"/>
        <v>0</v>
      </c>
      <c r="AF276" s="153">
        <f t="shared" si="64"/>
        <v>0</v>
      </c>
      <c r="AG276" s="248">
        <f t="shared" si="59"/>
        <v>0</v>
      </c>
      <c r="AH276" s="153">
        <f t="shared" si="65"/>
        <v>0</v>
      </c>
      <c r="AI276" s="153"/>
      <c r="AJ276" s="153">
        <f t="shared" si="66"/>
        <v>0</v>
      </c>
      <c r="AK276" s="153">
        <f t="shared" si="67"/>
        <v>0</v>
      </c>
      <c r="AL276" s="153"/>
      <c r="AM276" s="153">
        <f>AK275*W275+AK276*W276</f>
        <v>0</v>
      </c>
      <c r="AN276" s="153">
        <f>(SUM(AD275:AG275)*W275+SUM(AD276:AG276)*W276)*12*VLOOKUP(C276,JNovergang,3,1)</f>
        <v>0</v>
      </c>
      <c r="AO276" s="153">
        <f>AM276-AN276</f>
        <v>0</v>
      </c>
      <c r="AP276" s="153">
        <f>M276*(100+X276)%</f>
        <v>0</v>
      </c>
      <c r="AQ276" s="248">
        <f>ROUND(M276*F276,2)</f>
        <v>0</v>
      </c>
      <c r="AS276" s="248">
        <f>ROUND((AP276+AQ276)+AM276*(N276/12),0)</f>
        <v>0</v>
      </c>
      <c r="AT276" s="248">
        <f>ROUND(AM276*(O276/12),0)</f>
        <v>0</v>
      </c>
      <c r="AU276" s="248">
        <f>ROUND(AM276*(P276/12)*U276,0)</f>
        <v>0</v>
      </c>
      <c r="AW276" s="129">
        <f t="shared" si="68"/>
        <v>0</v>
      </c>
    </row>
    <row r="277" spans="1:49" x14ac:dyDescent="0.15">
      <c r="A277" s="157"/>
      <c r="B277" s="158"/>
      <c r="C277" s="158"/>
      <c r="D277" s="149" t="str">
        <f t="shared" si="70"/>
        <v xml:space="preserve"> </v>
      </c>
      <c r="E277" s="161"/>
      <c r="F277" s="261">
        <v>0</v>
      </c>
      <c r="G277" s="161">
        <v>37</v>
      </c>
      <c r="H277" s="161">
        <v>37</v>
      </c>
      <c r="I277" s="161"/>
      <c r="J277" s="163"/>
      <c r="K277" s="161"/>
      <c r="L277" s="163"/>
      <c r="M277" s="150"/>
      <c r="N277" s="150"/>
      <c r="O277" s="150"/>
      <c r="P277" s="150"/>
      <c r="Q277" s="151"/>
      <c r="R277" s="151"/>
      <c r="S277" s="152"/>
      <c r="V277" s="129">
        <f t="shared" si="60"/>
        <v>0</v>
      </c>
      <c r="W277" s="129">
        <f t="shared" si="61"/>
        <v>0</v>
      </c>
      <c r="X277" s="129">
        <f t="shared" si="69"/>
        <v>0</v>
      </c>
      <c r="Y277" s="129">
        <f t="shared" si="62"/>
        <v>65.337800000000001</v>
      </c>
      <c r="Z277" s="153">
        <f t="shared" ref="Z277:Z308" si="71">ROUND(VLOOKUP(I277,TabelLønninger,VLOOKUP(E277,TabelLøntabel,2,1),1)*G277/H277,2)</f>
        <v>0</v>
      </c>
      <c r="AA277" s="248">
        <f t="shared" ref="AA277:AA308" si="72">ROUND(VLOOKUP(I277,TabelLønninger,VLOOKUP(E277,TabelPensgivLøn,2))*F277/12*G277/H277,2)</f>
        <v>0</v>
      </c>
      <c r="AB277" s="153">
        <f t="shared" si="63"/>
        <v>0</v>
      </c>
      <c r="AC277" s="248">
        <f t="shared" ref="AC277:AC308" si="73">ROUND(AB277*F277,2)</f>
        <v>0</v>
      </c>
      <c r="AD277" s="153">
        <f t="shared" ref="AD277:AD308" si="74">ROUND(VLOOKUP(I277+K277,TabelLønninger,VLOOKUP(E277,TabelLøntabel,2,1),1)*G277/H277,2)-Z277</f>
        <v>0</v>
      </c>
      <c r="AE277" s="248">
        <f t="shared" ref="AE277:AE308" si="75">ROUND(VLOOKUP(I277+K277,TabelLønninger,VLOOKUP(E277,TabelPensgivLøn,2))*F277/12*G277/H277,2)-AA277</f>
        <v>0</v>
      </c>
      <c r="AF277" s="153">
        <f t="shared" si="64"/>
        <v>0</v>
      </c>
      <c r="AG277" s="248">
        <f t="shared" ref="AG277:AG308" si="76">ROUND(AF277*F277,2)</f>
        <v>0</v>
      </c>
      <c r="AH277" s="153">
        <f t="shared" si="65"/>
        <v>0</v>
      </c>
      <c r="AI277" s="153"/>
      <c r="AJ277" s="153">
        <f t="shared" si="66"/>
        <v>0</v>
      </c>
      <c r="AK277" s="153">
        <f t="shared" si="67"/>
        <v>0</v>
      </c>
      <c r="AL277" s="153"/>
      <c r="AM277" s="153"/>
      <c r="AN277" s="153"/>
      <c r="AQ277" s="153"/>
      <c r="AW277" s="129">
        <f t="shared" si="68"/>
        <v>0</v>
      </c>
    </row>
    <row r="278" spans="1:49" ht="9.75" thickBot="1" x14ac:dyDescent="0.2">
      <c r="A278" s="159"/>
      <c r="B278" s="160"/>
      <c r="C278" s="160"/>
      <c r="D278" s="154" t="str">
        <f>VLOOKUP(C278,Tabelændringskode,2,1)</f>
        <v xml:space="preserve"> </v>
      </c>
      <c r="E278" s="162"/>
      <c r="F278" s="262">
        <v>0</v>
      </c>
      <c r="G278" s="162">
        <v>37</v>
      </c>
      <c r="H278" s="162">
        <v>37</v>
      </c>
      <c r="I278" s="162"/>
      <c r="J278" s="164"/>
      <c r="K278" s="162"/>
      <c r="L278" s="164"/>
      <c r="M278" s="164"/>
      <c r="N278" s="162"/>
      <c r="O278" s="162"/>
      <c r="P278" s="162"/>
      <c r="Q278" s="155">
        <f>AS278</f>
        <v>0</v>
      </c>
      <c r="R278" s="155">
        <f>AT278</f>
        <v>0</v>
      </c>
      <c r="S278" s="156">
        <f>AU278</f>
        <v>0</v>
      </c>
      <c r="U278" s="129">
        <f>IF(OR(C277=5,C278=5),0,1)</f>
        <v>1</v>
      </c>
      <c r="V278" s="129">
        <f t="shared" ref="V278:V308" si="77">VLOOKUP(C278,TabelRammeforbrug,3,1)</f>
        <v>0</v>
      </c>
      <c r="W278" s="129">
        <f t="shared" ref="W278:W308" si="78">VLOOKUP(C278,FraTil,3,1)</f>
        <v>0</v>
      </c>
      <c r="X278" s="129">
        <f t="shared" si="69"/>
        <v>0</v>
      </c>
      <c r="Y278" s="129">
        <f t="shared" ref="Y278:Y308" si="79">VLOOKUP(E278,TabelPctReg,2)</f>
        <v>65.337800000000001</v>
      </c>
      <c r="Z278" s="153">
        <f t="shared" si="71"/>
        <v>0</v>
      </c>
      <c r="AA278" s="248">
        <f t="shared" si="72"/>
        <v>0</v>
      </c>
      <c r="AB278" s="153">
        <f t="shared" ref="AB278:AB308" si="80">ROUND(J278/12*(1+Y278%),2)*G278/H278</f>
        <v>0</v>
      </c>
      <c r="AC278" s="248">
        <f t="shared" si="73"/>
        <v>0</v>
      </c>
      <c r="AD278" s="153">
        <f t="shared" si="74"/>
        <v>0</v>
      </c>
      <c r="AE278" s="248">
        <f t="shared" si="75"/>
        <v>0</v>
      </c>
      <c r="AF278" s="153">
        <f t="shared" ref="AF278:AF308" si="81">ROUND(L278/12*(1+Y278%),2)*G278/H278</f>
        <v>0</v>
      </c>
      <c r="AG278" s="248">
        <f t="shared" si="76"/>
        <v>0</v>
      </c>
      <c r="AH278" s="153">
        <f t="shared" ref="AH278:AH308" si="82">ROUND((Z278+AB278+AD278+AF278)*X278%,2)</f>
        <v>0</v>
      </c>
      <c r="AI278" s="153"/>
      <c r="AJ278" s="153">
        <f t="shared" ref="AJ278:AJ308" si="83">SUM(Z278:AH278)</f>
        <v>0</v>
      </c>
      <c r="AK278" s="153">
        <f t="shared" ref="AK278:AK308" si="84">AJ278*12</f>
        <v>0</v>
      </c>
      <c r="AL278" s="153"/>
      <c r="AM278" s="153">
        <f>AK277*W277+AK278*W278</f>
        <v>0</v>
      </c>
      <c r="AN278" s="153">
        <f>(SUM(AD277:AG277)*W277+SUM(AD278:AG278)*W278)*12*VLOOKUP(C278,JNovergang,3,1)</f>
        <v>0</v>
      </c>
      <c r="AO278" s="153">
        <f>AM278-AN278</f>
        <v>0</v>
      </c>
      <c r="AP278" s="153">
        <f>M278*(100+X278)%</f>
        <v>0</v>
      </c>
      <c r="AQ278" s="248">
        <f>ROUND(M278*F278,2)</f>
        <v>0</v>
      </c>
      <c r="AS278" s="248">
        <f>ROUND((AP278+AQ278)+AM278*(N278/12),0)</f>
        <v>0</v>
      </c>
      <c r="AT278" s="248">
        <f>ROUND(AM278*(O278/12),0)</f>
        <v>0</v>
      </c>
      <c r="AU278" s="248">
        <f>ROUND(AM278*(P278/12)*U278,0)</f>
        <v>0</v>
      </c>
      <c r="AW278" s="129">
        <f t="shared" ref="AW278:AW308" si="85">IF(ISNUMBER(C278),ROW(),0)</f>
        <v>0</v>
      </c>
    </row>
    <row r="279" spans="1:49" x14ac:dyDescent="0.15">
      <c r="A279" s="157"/>
      <c r="B279" s="158"/>
      <c r="C279" s="158"/>
      <c r="D279" s="149" t="str">
        <f t="shared" si="70"/>
        <v xml:space="preserve"> </v>
      </c>
      <c r="E279" s="161"/>
      <c r="F279" s="261">
        <v>0</v>
      </c>
      <c r="G279" s="161">
        <v>37</v>
      </c>
      <c r="H279" s="161">
        <v>37</v>
      </c>
      <c r="I279" s="161"/>
      <c r="J279" s="163"/>
      <c r="K279" s="161"/>
      <c r="L279" s="163"/>
      <c r="M279" s="150"/>
      <c r="N279" s="150"/>
      <c r="O279" s="150"/>
      <c r="P279" s="150"/>
      <c r="Q279" s="151"/>
      <c r="R279" s="151"/>
      <c r="S279" s="152"/>
      <c r="V279" s="129">
        <f t="shared" si="77"/>
        <v>0</v>
      </c>
      <c r="W279" s="129">
        <f t="shared" si="78"/>
        <v>0</v>
      </c>
      <c r="X279" s="129">
        <f t="shared" si="69"/>
        <v>0</v>
      </c>
      <c r="Y279" s="129">
        <f t="shared" si="79"/>
        <v>65.337800000000001</v>
      </c>
      <c r="Z279" s="153">
        <f t="shared" si="71"/>
        <v>0</v>
      </c>
      <c r="AA279" s="248">
        <f t="shared" si="72"/>
        <v>0</v>
      </c>
      <c r="AB279" s="153">
        <f t="shared" si="80"/>
        <v>0</v>
      </c>
      <c r="AC279" s="248">
        <f t="shared" si="73"/>
        <v>0</v>
      </c>
      <c r="AD279" s="153">
        <f t="shared" si="74"/>
        <v>0</v>
      </c>
      <c r="AE279" s="248">
        <f t="shared" si="75"/>
        <v>0</v>
      </c>
      <c r="AF279" s="153">
        <f t="shared" si="81"/>
        <v>0</v>
      </c>
      <c r="AG279" s="248">
        <f t="shared" si="76"/>
        <v>0</v>
      </c>
      <c r="AH279" s="153">
        <f t="shared" si="82"/>
        <v>0</v>
      </c>
      <c r="AI279" s="153"/>
      <c r="AJ279" s="153">
        <f t="shared" si="83"/>
        <v>0</v>
      </c>
      <c r="AK279" s="153">
        <f t="shared" si="84"/>
        <v>0</v>
      </c>
      <c r="AL279" s="153"/>
      <c r="AM279" s="153"/>
      <c r="AN279" s="153"/>
      <c r="AQ279" s="153"/>
      <c r="AW279" s="129">
        <f t="shared" si="85"/>
        <v>0</v>
      </c>
    </row>
    <row r="280" spans="1:49" ht="9.75" thickBot="1" x14ac:dyDescent="0.2">
      <c r="A280" s="159"/>
      <c r="B280" s="160"/>
      <c r="C280" s="160"/>
      <c r="D280" s="154" t="str">
        <f>VLOOKUP(C280,Tabelændringskode,2,1)</f>
        <v xml:space="preserve"> </v>
      </c>
      <c r="E280" s="162"/>
      <c r="F280" s="262">
        <v>0</v>
      </c>
      <c r="G280" s="162">
        <v>37</v>
      </c>
      <c r="H280" s="162">
        <v>37</v>
      </c>
      <c r="I280" s="162"/>
      <c r="J280" s="164"/>
      <c r="K280" s="162"/>
      <c r="L280" s="164"/>
      <c r="M280" s="164"/>
      <c r="N280" s="162"/>
      <c r="O280" s="162"/>
      <c r="P280" s="162"/>
      <c r="Q280" s="155">
        <f>AS280</f>
        <v>0</v>
      </c>
      <c r="R280" s="155">
        <f>AT280</f>
        <v>0</v>
      </c>
      <c r="S280" s="156">
        <f>AU280</f>
        <v>0</v>
      </c>
      <c r="U280" s="129">
        <f>IF(OR(C279=5,C280=5),0,1)</f>
        <v>1</v>
      </c>
      <c r="V280" s="129">
        <f t="shared" si="77"/>
        <v>0</v>
      </c>
      <c r="W280" s="129">
        <f t="shared" si="78"/>
        <v>0</v>
      </c>
      <c r="X280" s="129">
        <f t="shared" si="69"/>
        <v>0</v>
      </c>
      <c r="Y280" s="129">
        <f t="shared" si="79"/>
        <v>65.337800000000001</v>
      </c>
      <c r="Z280" s="153">
        <f t="shared" si="71"/>
        <v>0</v>
      </c>
      <c r="AA280" s="248">
        <f t="shared" si="72"/>
        <v>0</v>
      </c>
      <c r="AB280" s="153">
        <f t="shared" si="80"/>
        <v>0</v>
      </c>
      <c r="AC280" s="248">
        <f t="shared" si="73"/>
        <v>0</v>
      </c>
      <c r="AD280" s="153">
        <f t="shared" si="74"/>
        <v>0</v>
      </c>
      <c r="AE280" s="248">
        <f t="shared" si="75"/>
        <v>0</v>
      </c>
      <c r="AF280" s="153">
        <f t="shared" si="81"/>
        <v>0</v>
      </c>
      <c r="AG280" s="248">
        <f t="shared" si="76"/>
        <v>0</v>
      </c>
      <c r="AH280" s="153">
        <f t="shared" si="82"/>
        <v>0</v>
      </c>
      <c r="AI280" s="153"/>
      <c r="AJ280" s="153">
        <f t="shared" si="83"/>
        <v>0</v>
      </c>
      <c r="AK280" s="153">
        <f t="shared" si="84"/>
        <v>0</v>
      </c>
      <c r="AL280" s="153"/>
      <c r="AM280" s="153">
        <f>AK279*W279+AK280*W280</f>
        <v>0</v>
      </c>
      <c r="AN280" s="153">
        <f>(SUM(AD279:AG279)*W279+SUM(AD280:AG280)*W280)*12*VLOOKUP(C280,JNovergang,3,1)</f>
        <v>0</v>
      </c>
      <c r="AO280" s="153">
        <f>AM280-AN280</f>
        <v>0</v>
      </c>
      <c r="AP280" s="153">
        <f>M280*(100+X280)%</f>
        <v>0</v>
      </c>
      <c r="AQ280" s="248">
        <f>ROUND(M280*F280,2)</f>
        <v>0</v>
      </c>
      <c r="AS280" s="248">
        <f>ROUND((AP280+AQ280)+AM280*(N280/12),0)</f>
        <v>0</v>
      </c>
      <c r="AT280" s="248">
        <f>ROUND(AM280*(O280/12),0)</f>
        <v>0</v>
      </c>
      <c r="AU280" s="248">
        <f>ROUND(AM280*(P280/12)*U280,0)</f>
        <v>0</v>
      </c>
      <c r="AW280" s="129">
        <f t="shared" si="85"/>
        <v>0</v>
      </c>
    </row>
    <row r="281" spans="1:49" x14ac:dyDescent="0.15">
      <c r="A281" s="157"/>
      <c r="B281" s="158"/>
      <c r="C281" s="158"/>
      <c r="D281" s="149" t="str">
        <f t="shared" si="70"/>
        <v xml:space="preserve"> </v>
      </c>
      <c r="E281" s="161"/>
      <c r="F281" s="261">
        <v>0</v>
      </c>
      <c r="G281" s="161">
        <v>37</v>
      </c>
      <c r="H281" s="161">
        <v>37</v>
      </c>
      <c r="I281" s="161"/>
      <c r="J281" s="163"/>
      <c r="K281" s="161"/>
      <c r="L281" s="163"/>
      <c r="M281" s="150"/>
      <c r="N281" s="150"/>
      <c r="O281" s="150"/>
      <c r="P281" s="150"/>
      <c r="Q281" s="151"/>
      <c r="R281" s="151"/>
      <c r="S281" s="152"/>
      <c r="V281" s="129">
        <f t="shared" si="77"/>
        <v>0</v>
      </c>
      <c r="W281" s="129">
        <f t="shared" si="78"/>
        <v>0</v>
      </c>
      <c r="X281" s="129">
        <f t="shared" si="69"/>
        <v>0</v>
      </c>
      <c r="Y281" s="129">
        <f t="shared" si="79"/>
        <v>65.337800000000001</v>
      </c>
      <c r="Z281" s="153">
        <f t="shared" si="71"/>
        <v>0</v>
      </c>
      <c r="AA281" s="248">
        <f t="shared" si="72"/>
        <v>0</v>
      </c>
      <c r="AB281" s="153">
        <f t="shared" si="80"/>
        <v>0</v>
      </c>
      <c r="AC281" s="248">
        <f t="shared" si="73"/>
        <v>0</v>
      </c>
      <c r="AD281" s="153">
        <f t="shared" si="74"/>
        <v>0</v>
      </c>
      <c r="AE281" s="248">
        <f t="shared" si="75"/>
        <v>0</v>
      </c>
      <c r="AF281" s="153">
        <f t="shared" si="81"/>
        <v>0</v>
      </c>
      <c r="AG281" s="248">
        <f t="shared" si="76"/>
        <v>0</v>
      </c>
      <c r="AH281" s="153">
        <f t="shared" si="82"/>
        <v>0</v>
      </c>
      <c r="AI281" s="153"/>
      <c r="AJ281" s="153">
        <f t="shared" si="83"/>
        <v>0</v>
      </c>
      <c r="AK281" s="153">
        <f t="shared" si="84"/>
        <v>0</v>
      </c>
      <c r="AL281" s="153"/>
      <c r="AM281" s="153"/>
      <c r="AN281" s="153"/>
      <c r="AQ281" s="153"/>
      <c r="AW281" s="129">
        <f t="shared" si="85"/>
        <v>0</v>
      </c>
    </row>
    <row r="282" spans="1:49" ht="9.75" thickBot="1" x14ac:dyDescent="0.2">
      <c r="A282" s="159"/>
      <c r="B282" s="160"/>
      <c r="C282" s="160"/>
      <c r="D282" s="154" t="str">
        <f>VLOOKUP(C282,Tabelændringskode,2,1)</f>
        <v xml:space="preserve"> </v>
      </c>
      <c r="E282" s="162"/>
      <c r="F282" s="262">
        <v>0</v>
      </c>
      <c r="G282" s="162">
        <v>37</v>
      </c>
      <c r="H282" s="162">
        <v>37</v>
      </c>
      <c r="I282" s="162"/>
      <c r="J282" s="164"/>
      <c r="K282" s="162"/>
      <c r="L282" s="164"/>
      <c r="M282" s="164"/>
      <c r="N282" s="162"/>
      <c r="O282" s="162"/>
      <c r="P282" s="162"/>
      <c r="Q282" s="155">
        <f>AS282</f>
        <v>0</v>
      </c>
      <c r="R282" s="155">
        <f>AT282</f>
        <v>0</v>
      </c>
      <c r="S282" s="156">
        <f>AU282</f>
        <v>0</v>
      </c>
      <c r="U282" s="129">
        <f>IF(OR(C281=5,C282=5),0,1)</f>
        <v>1</v>
      </c>
      <c r="V282" s="129">
        <f t="shared" si="77"/>
        <v>0</v>
      </c>
      <c r="W282" s="129">
        <f t="shared" si="78"/>
        <v>0</v>
      </c>
      <c r="X282" s="129">
        <f t="shared" si="69"/>
        <v>0</v>
      </c>
      <c r="Y282" s="129">
        <f t="shared" si="79"/>
        <v>65.337800000000001</v>
      </c>
      <c r="Z282" s="153">
        <f t="shared" si="71"/>
        <v>0</v>
      </c>
      <c r="AA282" s="248">
        <f t="shared" si="72"/>
        <v>0</v>
      </c>
      <c r="AB282" s="153">
        <f t="shared" si="80"/>
        <v>0</v>
      </c>
      <c r="AC282" s="248">
        <f t="shared" si="73"/>
        <v>0</v>
      </c>
      <c r="AD282" s="153">
        <f t="shared" si="74"/>
        <v>0</v>
      </c>
      <c r="AE282" s="248">
        <f t="shared" si="75"/>
        <v>0</v>
      </c>
      <c r="AF282" s="153">
        <f t="shared" si="81"/>
        <v>0</v>
      </c>
      <c r="AG282" s="248">
        <f t="shared" si="76"/>
        <v>0</v>
      </c>
      <c r="AH282" s="153">
        <f t="shared" si="82"/>
        <v>0</v>
      </c>
      <c r="AI282" s="153"/>
      <c r="AJ282" s="153">
        <f t="shared" si="83"/>
        <v>0</v>
      </c>
      <c r="AK282" s="153">
        <f t="shared" si="84"/>
        <v>0</v>
      </c>
      <c r="AL282" s="153"/>
      <c r="AM282" s="153">
        <f>AK281*W281+AK282*W282</f>
        <v>0</v>
      </c>
      <c r="AN282" s="153">
        <f>(SUM(AD281:AG281)*W281+SUM(AD282:AG282)*W282)*12*VLOOKUP(C282,JNovergang,3,1)</f>
        <v>0</v>
      </c>
      <c r="AO282" s="153">
        <f>AM282-AN282</f>
        <v>0</v>
      </c>
      <c r="AP282" s="153">
        <f>M282*(100+X282)%</f>
        <v>0</v>
      </c>
      <c r="AQ282" s="248">
        <f>ROUND(M282*F282,2)</f>
        <v>0</v>
      </c>
      <c r="AS282" s="248">
        <f>ROUND((AP282+AQ282)+AM282*(N282/12),0)</f>
        <v>0</v>
      </c>
      <c r="AT282" s="248">
        <f>ROUND(AM282*(O282/12),0)</f>
        <v>0</v>
      </c>
      <c r="AU282" s="248">
        <f>ROUND(AM282*(P282/12)*U282,0)</f>
        <v>0</v>
      </c>
      <c r="AW282" s="129">
        <f t="shared" si="85"/>
        <v>0</v>
      </c>
    </row>
    <row r="283" spans="1:49" x14ac:dyDescent="0.15">
      <c r="A283" s="157"/>
      <c r="B283" s="158"/>
      <c r="C283" s="158"/>
      <c r="D283" s="149" t="str">
        <f t="shared" ref="D283:D308" si="86">VLOOKUP(C283,Tabelændringskode,2,1)</f>
        <v xml:space="preserve"> </v>
      </c>
      <c r="E283" s="161"/>
      <c r="F283" s="261">
        <v>0</v>
      </c>
      <c r="G283" s="161">
        <v>37</v>
      </c>
      <c r="H283" s="161">
        <v>37</v>
      </c>
      <c r="I283" s="161"/>
      <c r="J283" s="163"/>
      <c r="K283" s="161"/>
      <c r="L283" s="163"/>
      <c r="M283" s="150"/>
      <c r="N283" s="150"/>
      <c r="O283" s="150"/>
      <c r="P283" s="150"/>
      <c r="Q283" s="151"/>
      <c r="R283" s="151"/>
      <c r="S283" s="152"/>
      <c r="V283" s="129">
        <f t="shared" si="77"/>
        <v>0</v>
      </c>
      <c r="W283" s="129">
        <f t="shared" si="78"/>
        <v>0</v>
      </c>
      <c r="X283" s="129">
        <f t="shared" si="69"/>
        <v>0</v>
      </c>
      <c r="Y283" s="129">
        <f t="shared" si="79"/>
        <v>65.337800000000001</v>
      </c>
      <c r="Z283" s="153">
        <f t="shared" si="71"/>
        <v>0</v>
      </c>
      <c r="AA283" s="248">
        <f t="shared" si="72"/>
        <v>0</v>
      </c>
      <c r="AB283" s="153">
        <f t="shared" si="80"/>
        <v>0</v>
      </c>
      <c r="AC283" s="248">
        <f t="shared" si="73"/>
        <v>0</v>
      </c>
      <c r="AD283" s="153">
        <f t="shared" si="74"/>
        <v>0</v>
      </c>
      <c r="AE283" s="248">
        <f t="shared" si="75"/>
        <v>0</v>
      </c>
      <c r="AF283" s="153">
        <f t="shared" si="81"/>
        <v>0</v>
      </c>
      <c r="AG283" s="248">
        <f t="shared" si="76"/>
        <v>0</v>
      </c>
      <c r="AH283" s="153">
        <f t="shared" si="82"/>
        <v>0</v>
      </c>
      <c r="AI283" s="153"/>
      <c r="AJ283" s="153">
        <f t="shared" si="83"/>
        <v>0</v>
      </c>
      <c r="AK283" s="153">
        <f t="shared" si="84"/>
        <v>0</v>
      </c>
      <c r="AL283" s="153"/>
      <c r="AM283" s="153"/>
      <c r="AN283" s="153"/>
      <c r="AQ283" s="153"/>
      <c r="AW283" s="129">
        <f t="shared" si="85"/>
        <v>0</v>
      </c>
    </row>
    <row r="284" spans="1:49" ht="9.75" thickBot="1" x14ac:dyDescent="0.2">
      <c r="A284" s="159"/>
      <c r="B284" s="160"/>
      <c r="C284" s="160"/>
      <c r="D284" s="154" t="str">
        <f t="shared" si="86"/>
        <v xml:space="preserve"> </v>
      </c>
      <c r="E284" s="162"/>
      <c r="F284" s="262">
        <v>0</v>
      </c>
      <c r="G284" s="162">
        <v>37</v>
      </c>
      <c r="H284" s="162">
        <v>37</v>
      </c>
      <c r="I284" s="162"/>
      <c r="J284" s="164"/>
      <c r="K284" s="162"/>
      <c r="L284" s="164"/>
      <c r="M284" s="164"/>
      <c r="N284" s="162"/>
      <c r="O284" s="162"/>
      <c r="P284" s="162"/>
      <c r="Q284" s="155">
        <f>AS284</f>
        <v>0</v>
      </c>
      <c r="R284" s="155">
        <f>AT284</f>
        <v>0</v>
      </c>
      <c r="S284" s="156">
        <f>AU284</f>
        <v>0</v>
      </c>
      <c r="U284" s="129">
        <f>IF(OR(C283=5,C284=5),0,1)</f>
        <v>1</v>
      </c>
      <c r="V284" s="129">
        <f t="shared" si="77"/>
        <v>0</v>
      </c>
      <c r="W284" s="129">
        <f t="shared" si="78"/>
        <v>0</v>
      </c>
      <c r="X284" s="129">
        <f t="shared" si="69"/>
        <v>0</v>
      </c>
      <c r="Y284" s="129">
        <f t="shared" si="79"/>
        <v>65.337800000000001</v>
      </c>
      <c r="Z284" s="153">
        <f t="shared" si="71"/>
        <v>0</v>
      </c>
      <c r="AA284" s="248">
        <f t="shared" si="72"/>
        <v>0</v>
      </c>
      <c r="AB284" s="153">
        <f t="shared" si="80"/>
        <v>0</v>
      </c>
      <c r="AC284" s="248">
        <f t="shared" si="73"/>
        <v>0</v>
      </c>
      <c r="AD284" s="153">
        <f t="shared" si="74"/>
        <v>0</v>
      </c>
      <c r="AE284" s="248">
        <f t="shared" si="75"/>
        <v>0</v>
      </c>
      <c r="AF284" s="153">
        <f t="shared" si="81"/>
        <v>0</v>
      </c>
      <c r="AG284" s="248">
        <f t="shared" si="76"/>
        <v>0</v>
      </c>
      <c r="AH284" s="153">
        <f t="shared" si="82"/>
        <v>0</v>
      </c>
      <c r="AI284" s="153"/>
      <c r="AJ284" s="153">
        <f t="shared" si="83"/>
        <v>0</v>
      </c>
      <c r="AK284" s="153">
        <f t="shared" si="84"/>
        <v>0</v>
      </c>
      <c r="AL284" s="153"/>
      <c r="AM284" s="153">
        <f>AK283*W283+AK284*W284</f>
        <v>0</v>
      </c>
      <c r="AN284" s="153">
        <f>(SUM(AD283:AG283)*W283+SUM(AD284:AG284)*W284)*12*VLOOKUP(C284,JNovergang,3,1)</f>
        <v>0</v>
      </c>
      <c r="AO284" s="153">
        <f>AM284-AN284</f>
        <v>0</v>
      </c>
      <c r="AP284" s="153">
        <f>M284*(100+X284)%</f>
        <v>0</v>
      </c>
      <c r="AQ284" s="248">
        <f>ROUND(M284*F284,2)</f>
        <v>0</v>
      </c>
      <c r="AS284" s="248">
        <f>ROUND((AP284+AQ284)+AM284*(N284/12),0)</f>
        <v>0</v>
      </c>
      <c r="AT284" s="248">
        <f>ROUND(AM284*(O284/12),0)</f>
        <v>0</v>
      </c>
      <c r="AU284" s="248">
        <f>ROUND(AM284*(P284/12)*U284,0)</f>
        <v>0</v>
      </c>
      <c r="AW284" s="129">
        <f t="shared" si="85"/>
        <v>0</v>
      </c>
    </row>
    <row r="285" spans="1:49" x14ac:dyDescent="0.15">
      <c r="A285" s="157"/>
      <c r="B285" s="158"/>
      <c r="C285" s="158"/>
      <c r="D285" s="149" t="str">
        <f t="shared" si="86"/>
        <v xml:space="preserve"> </v>
      </c>
      <c r="E285" s="161"/>
      <c r="F285" s="261">
        <v>0</v>
      </c>
      <c r="G285" s="161">
        <v>37</v>
      </c>
      <c r="H285" s="161">
        <v>37</v>
      </c>
      <c r="I285" s="161"/>
      <c r="J285" s="163"/>
      <c r="K285" s="161"/>
      <c r="L285" s="163"/>
      <c r="M285" s="150"/>
      <c r="N285" s="150"/>
      <c r="O285" s="150"/>
      <c r="P285" s="150"/>
      <c r="Q285" s="151"/>
      <c r="R285" s="151"/>
      <c r="S285" s="152"/>
      <c r="V285" s="129">
        <f t="shared" si="77"/>
        <v>0</v>
      </c>
      <c r="W285" s="129">
        <f t="shared" si="78"/>
        <v>0</v>
      </c>
      <c r="X285" s="129">
        <f t="shared" si="69"/>
        <v>0</v>
      </c>
      <c r="Y285" s="129">
        <f t="shared" si="79"/>
        <v>65.337800000000001</v>
      </c>
      <c r="Z285" s="153">
        <f t="shared" si="71"/>
        <v>0</v>
      </c>
      <c r="AA285" s="248">
        <f t="shared" si="72"/>
        <v>0</v>
      </c>
      <c r="AB285" s="153">
        <f t="shared" si="80"/>
        <v>0</v>
      </c>
      <c r="AC285" s="248">
        <f t="shared" si="73"/>
        <v>0</v>
      </c>
      <c r="AD285" s="153">
        <f t="shared" si="74"/>
        <v>0</v>
      </c>
      <c r="AE285" s="248">
        <f t="shared" si="75"/>
        <v>0</v>
      </c>
      <c r="AF285" s="153">
        <f t="shared" si="81"/>
        <v>0</v>
      </c>
      <c r="AG285" s="248">
        <f t="shared" si="76"/>
        <v>0</v>
      </c>
      <c r="AH285" s="153">
        <f t="shared" si="82"/>
        <v>0</v>
      </c>
      <c r="AI285" s="153"/>
      <c r="AJ285" s="153">
        <f t="shared" si="83"/>
        <v>0</v>
      </c>
      <c r="AK285" s="153">
        <f t="shared" si="84"/>
        <v>0</v>
      </c>
      <c r="AL285" s="153"/>
      <c r="AM285" s="153"/>
      <c r="AN285" s="153"/>
      <c r="AQ285" s="153"/>
      <c r="AW285" s="129">
        <f t="shared" si="85"/>
        <v>0</v>
      </c>
    </row>
    <row r="286" spans="1:49" ht="9.75" thickBot="1" x14ac:dyDescent="0.2">
      <c r="A286" s="159"/>
      <c r="B286" s="160"/>
      <c r="C286" s="160"/>
      <c r="D286" s="154" t="str">
        <f t="shared" si="86"/>
        <v xml:space="preserve"> </v>
      </c>
      <c r="E286" s="162"/>
      <c r="F286" s="262">
        <v>0</v>
      </c>
      <c r="G286" s="162">
        <v>37</v>
      </c>
      <c r="H286" s="162">
        <v>37</v>
      </c>
      <c r="I286" s="162"/>
      <c r="J286" s="164"/>
      <c r="K286" s="162"/>
      <c r="L286" s="164"/>
      <c r="M286" s="164"/>
      <c r="N286" s="162"/>
      <c r="O286" s="162"/>
      <c r="P286" s="162"/>
      <c r="Q286" s="155">
        <f>AS286</f>
        <v>0</v>
      </c>
      <c r="R286" s="155">
        <f>AT286</f>
        <v>0</v>
      </c>
      <c r="S286" s="156">
        <f>AU286</f>
        <v>0</v>
      </c>
      <c r="U286" s="129">
        <f>IF(OR(C285=5,C286=5),0,1)</f>
        <v>1</v>
      </c>
      <c r="V286" s="129">
        <f t="shared" si="77"/>
        <v>0</v>
      </c>
      <c r="W286" s="129">
        <f t="shared" si="78"/>
        <v>0</v>
      </c>
      <c r="X286" s="129">
        <f t="shared" si="69"/>
        <v>0</v>
      </c>
      <c r="Y286" s="129">
        <f t="shared" si="79"/>
        <v>65.337800000000001</v>
      </c>
      <c r="Z286" s="153">
        <f t="shared" si="71"/>
        <v>0</v>
      </c>
      <c r="AA286" s="248">
        <f t="shared" si="72"/>
        <v>0</v>
      </c>
      <c r="AB286" s="153">
        <f t="shared" si="80"/>
        <v>0</v>
      </c>
      <c r="AC286" s="248">
        <f t="shared" si="73"/>
        <v>0</v>
      </c>
      <c r="AD286" s="153">
        <f t="shared" si="74"/>
        <v>0</v>
      </c>
      <c r="AE286" s="248">
        <f t="shared" si="75"/>
        <v>0</v>
      </c>
      <c r="AF286" s="153">
        <f t="shared" si="81"/>
        <v>0</v>
      </c>
      <c r="AG286" s="248">
        <f t="shared" si="76"/>
        <v>0</v>
      </c>
      <c r="AH286" s="153">
        <f t="shared" si="82"/>
        <v>0</v>
      </c>
      <c r="AI286" s="153"/>
      <c r="AJ286" s="153">
        <f t="shared" si="83"/>
        <v>0</v>
      </c>
      <c r="AK286" s="153">
        <f t="shared" si="84"/>
        <v>0</v>
      </c>
      <c r="AL286" s="153"/>
      <c r="AM286" s="153">
        <f>AK285*W285+AK286*W286</f>
        <v>0</v>
      </c>
      <c r="AN286" s="153">
        <f>(SUM(AD285:AG285)*W285+SUM(AD286:AG286)*W286)*12*VLOOKUP(C286,JNovergang,3,1)</f>
        <v>0</v>
      </c>
      <c r="AO286" s="153">
        <f>AM286-AN286</f>
        <v>0</v>
      </c>
      <c r="AP286" s="153">
        <f>M286*(100+X286)%</f>
        <v>0</v>
      </c>
      <c r="AQ286" s="248">
        <f>ROUND(M286*F286,2)</f>
        <v>0</v>
      </c>
      <c r="AS286" s="248">
        <f>ROUND((AP286+AQ286)+AM286*(N286/12),0)</f>
        <v>0</v>
      </c>
      <c r="AT286" s="248">
        <f>ROUND(AM286*(O286/12),0)</f>
        <v>0</v>
      </c>
      <c r="AU286" s="248">
        <f>ROUND(AM286*(P286/12)*U286,0)</f>
        <v>0</v>
      </c>
      <c r="AW286" s="129">
        <f t="shared" si="85"/>
        <v>0</v>
      </c>
    </row>
    <row r="287" spans="1:49" x14ac:dyDescent="0.15">
      <c r="A287" s="157"/>
      <c r="B287" s="158"/>
      <c r="C287" s="158"/>
      <c r="D287" s="149" t="str">
        <f t="shared" si="86"/>
        <v xml:space="preserve"> </v>
      </c>
      <c r="E287" s="161"/>
      <c r="F287" s="261">
        <v>0</v>
      </c>
      <c r="G287" s="161">
        <v>37</v>
      </c>
      <c r="H287" s="161">
        <v>37</v>
      </c>
      <c r="I287" s="161"/>
      <c r="J287" s="163"/>
      <c r="K287" s="161"/>
      <c r="L287" s="163"/>
      <c r="M287" s="150"/>
      <c r="N287" s="150"/>
      <c r="O287" s="150"/>
      <c r="P287" s="150"/>
      <c r="Q287" s="151"/>
      <c r="R287" s="151"/>
      <c r="S287" s="152"/>
      <c r="V287" s="129">
        <f t="shared" si="77"/>
        <v>0</v>
      </c>
      <c r="W287" s="129">
        <f t="shared" si="78"/>
        <v>0</v>
      </c>
      <c r="X287" s="129">
        <f t="shared" si="69"/>
        <v>0</v>
      </c>
      <c r="Y287" s="129">
        <f t="shared" si="79"/>
        <v>65.337800000000001</v>
      </c>
      <c r="Z287" s="153">
        <f t="shared" si="71"/>
        <v>0</v>
      </c>
      <c r="AA287" s="248">
        <f t="shared" si="72"/>
        <v>0</v>
      </c>
      <c r="AB287" s="153">
        <f t="shared" si="80"/>
        <v>0</v>
      </c>
      <c r="AC287" s="248">
        <f t="shared" si="73"/>
        <v>0</v>
      </c>
      <c r="AD287" s="153">
        <f t="shared" si="74"/>
        <v>0</v>
      </c>
      <c r="AE287" s="248">
        <f t="shared" si="75"/>
        <v>0</v>
      </c>
      <c r="AF287" s="153">
        <f t="shared" si="81"/>
        <v>0</v>
      </c>
      <c r="AG287" s="248">
        <f t="shared" si="76"/>
        <v>0</v>
      </c>
      <c r="AH287" s="153">
        <f t="shared" si="82"/>
        <v>0</v>
      </c>
      <c r="AI287" s="153"/>
      <c r="AJ287" s="153">
        <f t="shared" si="83"/>
        <v>0</v>
      </c>
      <c r="AK287" s="153">
        <f t="shared" si="84"/>
        <v>0</v>
      </c>
      <c r="AL287" s="153"/>
      <c r="AM287" s="153"/>
      <c r="AN287" s="153"/>
      <c r="AQ287" s="153"/>
      <c r="AW287" s="129">
        <f t="shared" si="85"/>
        <v>0</v>
      </c>
    </row>
    <row r="288" spans="1:49" ht="9.75" thickBot="1" x14ac:dyDescent="0.2">
      <c r="A288" s="159"/>
      <c r="B288" s="160"/>
      <c r="C288" s="160"/>
      <c r="D288" s="154" t="str">
        <f t="shared" si="86"/>
        <v xml:space="preserve"> </v>
      </c>
      <c r="E288" s="162"/>
      <c r="F288" s="262">
        <v>0</v>
      </c>
      <c r="G288" s="162">
        <v>37</v>
      </c>
      <c r="H288" s="162">
        <v>37</v>
      </c>
      <c r="I288" s="162"/>
      <c r="J288" s="164"/>
      <c r="K288" s="162"/>
      <c r="L288" s="164"/>
      <c r="M288" s="164"/>
      <c r="N288" s="162"/>
      <c r="O288" s="162"/>
      <c r="P288" s="162"/>
      <c r="Q288" s="155">
        <f>AS288</f>
        <v>0</v>
      </c>
      <c r="R288" s="155">
        <f>AT288</f>
        <v>0</v>
      </c>
      <c r="S288" s="156">
        <f>AU288</f>
        <v>0</v>
      </c>
      <c r="U288" s="129">
        <f>IF(OR(C287=5,C288=5),0,1)</f>
        <v>1</v>
      </c>
      <c r="V288" s="129">
        <f t="shared" si="77"/>
        <v>0</v>
      </c>
      <c r="W288" s="129">
        <f t="shared" si="78"/>
        <v>0</v>
      </c>
      <c r="X288" s="129">
        <f t="shared" si="69"/>
        <v>0</v>
      </c>
      <c r="Y288" s="129">
        <f t="shared" si="79"/>
        <v>65.337800000000001</v>
      </c>
      <c r="Z288" s="153">
        <f t="shared" si="71"/>
        <v>0</v>
      </c>
      <c r="AA288" s="248">
        <f t="shared" si="72"/>
        <v>0</v>
      </c>
      <c r="AB288" s="153">
        <f t="shared" si="80"/>
        <v>0</v>
      </c>
      <c r="AC288" s="248">
        <f t="shared" si="73"/>
        <v>0</v>
      </c>
      <c r="AD288" s="153">
        <f t="shared" si="74"/>
        <v>0</v>
      </c>
      <c r="AE288" s="248">
        <f t="shared" si="75"/>
        <v>0</v>
      </c>
      <c r="AF288" s="153">
        <f t="shared" si="81"/>
        <v>0</v>
      </c>
      <c r="AG288" s="248">
        <f t="shared" si="76"/>
        <v>0</v>
      </c>
      <c r="AH288" s="153">
        <f t="shared" si="82"/>
        <v>0</v>
      </c>
      <c r="AI288" s="153"/>
      <c r="AJ288" s="153">
        <f t="shared" si="83"/>
        <v>0</v>
      </c>
      <c r="AK288" s="153">
        <f t="shared" si="84"/>
        <v>0</v>
      </c>
      <c r="AL288" s="153"/>
      <c r="AM288" s="153">
        <f>AK287*W287+AK288*W288</f>
        <v>0</v>
      </c>
      <c r="AN288" s="153">
        <f>(SUM(AD287:AG287)*W287+SUM(AD288:AG288)*W288)*12*VLOOKUP(C288,JNovergang,3,1)</f>
        <v>0</v>
      </c>
      <c r="AO288" s="153">
        <f>AM288-AN288</f>
        <v>0</v>
      </c>
      <c r="AP288" s="153">
        <f>M288*(100+X288)%</f>
        <v>0</v>
      </c>
      <c r="AQ288" s="248">
        <f>ROUND(M288*F288,2)</f>
        <v>0</v>
      </c>
      <c r="AS288" s="248">
        <f>ROUND((AP288+AQ288)+AM288*(N288/12),0)</f>
        <v>0</v>
      </c>
      <c r="AT288" s="248">
        <f>ROUND(AM288*(O288/12),0)</f>
        <v>0</v>
      </c>
      <c r="AU288" s="248">
        <f>ROUND(AM288*(P288/12)*U288,0)</f>
        <v>0</v>
      </c>
      <c r="AW288" s="129">
        <f t="shared" si="85"/>
        <v>0</v>
      </c>
    </row>
    <row r="289" spans="1:49" x14ac:dyDescent="0.15">
      <c r="A289" s="157"/>
      <c r="B289" s="158"/>
      <c r="C289" s="158"/>
      <c r="D289" s="149" t="str">
        <f t="shared" si="86"/>
        <v xml:space="preserve"> </v>
      </c>
      <c r="E289" s="161"/>
      <c r="F289" s="261">
        <v>0</v>
      </c>
      <c r="G289" s="161">
        <v>37</v>
      </c>
      <c r="H289" s="161">
        <v>37</v>
      </c>
      <c r="I289" s="161"/>
      <c r="J289" s="163"/>
      <c r="K289" s="161"/>
      <c r="L289" s="163"/>
      <c r="M289" s="150"/>
      <c r="N289" s="150"/>
      <c r="O289" s="150"/>
      <c r="P289" s="150"/>
      <c r="Q289" s="151"/>
      <c r="R289" s="151"/>
      <c r="S289" s="152"/>
      <c r="V289" s="129">
        <f t="shared" si="77"/>
        <v>0</v>
      </c>
      <c r="W289" s="129">
        <f t="shared" si="78"/>
        <v>0</v>
      </c>
      <c r="X289" s="129">
        <f t="shared" si="69"/>
        <v>0</v>
      </c>
      <c r="Y289" s="129">
        <f t="shared" si="79"/>
        <v>65.337800000000001</v>
      </c>
      <c r="Z289" s="153">
        <f t="shared" si="71"/>
        <v>0</v>
      </c>
      <c r="AA289" s="248">
        <f t="shared" si="72"/>
        <v>0</v>
      </c>
      <c r="AB289" s="153">
        <f t="shared" si="80"/>
        <v>0</v>
      </c>
      <c r="AC289" s="248">
        <f t="shared" si="73"/>
        <v>0</v>
      </c>
      <c r="AD289" s="153">
        <f t="shared" si="74"/>
        <v>0</v>
      </c>
      <c r="AE289" s="248">
        <f t="shared" si="75"/>
        <v>0</v>
      </c>
      <c r="AF289" s="153">
        <f t="shared" si="81"/>
        <v>0</v>
      </c>
      <c r="AG289" s="248">
        <f t="shared" si="76"/>
        <v>0</v>
      </c>
      <c r="AH289" s="153">
        <f t="shared" si="82"/>
        <v>0</v>
      </c>
      <c r="AI289" s="153"/>
      <c r="AJ289" s="153">
        <f t="shared" si="83"/>
        <v>0</v>
      </c>
      <c r="AK289" s="153">
        <f t="shared" si="84"/>
        <v>0</v>
      </c>
      <c r="AL289" s="153"/>
      <c r="AM289" s="153"/>
      <c r="AN289" s="153"/>
      <c r="AQ289" s="153"/>
      <c r="AW289" s="129">
        <f t="shared" si="85"/>
        <v>0</v>
      </c>
    </row>
    <row r="290" spans="1:49" ht="9.75" thickBot="1" x14ac:dyDescent="0.2">
      <c r="A290" s="159"/>
      <c r="B290" s="160"/>
      <c r="C290" s="160"/>
      <c r="D290" s="154" t="str">
        <f t="shared" si="86"/>
        <v xml:space="preserve"> </v>
      </c>
      <c r="E290" s="162"/>
      <c r="F290" s="262">
        <v>0</v>
      </c>
      <c r="G290" s="162">
        <v>37</v>
      </c>
      <c r="H290" s="162">
        <v>37</v>
      </c>
      <c r="I290" s="162"/>
      <c r="J290" s="164"/>
      <c r="K290" s="162"/>
      <c r="L290" s="164"/>
      <c r="M290" s="164"/>
      <c r="N290" s="162"/>
      <c r="O290" s="162"/>
      <c r="P290" s="162"/>
      <c r="Q290" s="155">
        <f>AS290</f>
        <v>0</v>
      </c>
      <c r="R290" s="155">
        <f>AT290</f>
        <v>0</v>
      </c>
      <c r="S290" s="156">
        <f>AU290</f>
        <v>0</v>
      </c>
      <c r="U290" s="129">
        <f>IF(OR(C289=5,C290=5),0,1)</f>
        <v>1</v>
      </c>
      <c r="V290" s="129">
        <f t="shared" si="77"/>
        <v>0</v>
      </c>
      <c r="W290" s="129">
        <f t="shared" si="78"/>
        <v>0</v>
      </c>
      <c r="X290" s="129">
        <f t="shared" si="69"/>
        <v>0</v>
      </c>
      <c r="Y290" s="129">
        <f t="shared" si="79"/>
        <v>65.337800000000001</v>
      </c>
      <c r="Z290" s="153">
        <f t="shared" si="71"/>
        <v>0</v>
      </c>
      <c r="AA290" s="248">
        <f t="shared" si="72"/>
        <v>0</v>
      </c>
      <c r="AB290" s="153">
        <f t="shared" si="80"/>
        <v>0</v>
      </c>
      <c r="AC290" s="248">
        <f t="shared" si="73"/>
        <v>0</v>
      </c>
      <c r="AD290" s="153">
        <f t="shared" si="74"/>
        <v>0</v>
      </c>
      <c r="AE290" s="248">
        <f t="shared" si="75"/>
        <v>0</v>
      </c>
      <c r="AF290" s="153">
        <f t="shared" si="81"/>
        <v>0</v>
      </c>
      <c r="AG290" s="248">
        <f t="shared" si="76"/>
        <v>0</v>
      </c>
      <c r="AH290" s="153">
        <f t="shared" si="82"/>
        <v>0</v>
      </c>
      <c r="AI290" s="153"/>
      <c r="AJ290" s="153">
        <f t="shared" si="83"/>
        <v>0</v>
      </c>
      <c r="AK290" s="153">
        <f t="shared" si="84"/>
        <v>0</v>
      </c>
      <c r="AL290" s="153"/>
      <c r="AM290" s="153">
        <f>AK289*W289+AK290*W290</f>
        <v>0</v>
      </c>
      <c r="AN290" s="153">
        <f>(SUM(AD289:AG289)*W289+SUM(AD290:AG290)*W290)*12*VLOOKUP(C290,JNovergang,3,1)</f>
        <v>0</v>
      </c>
      <c r="AO290" s="153">
        <f>AM290-AN290</f>
        <v>0</v>
      </c>
      <c r="AP290" s="153">
        <f>M290*(100+X290)%</f>
        <v>0</v>
      </c>
      <c r="AQ290" s="248">
        <f>ROUND(M290*F290,2)</f>
        <v>0</v>
      </c>
      <c r="AS290" s="248">
        <f>ROUND((AP290+AQ290)+AM290*(N290/12),0)</f>
        <v>0</v>
      </c>
      <c r="AT290" s="248">
        <f>ROUND(AM290*(O290/12),0)</f>
        <v>0</v>
      </c>
      <c r="AU290" s="248">
        <f>ROUND(AM290*(P290/12)*U290,0)</f>
        <v>0</v>
      </c>
      <c r="AW290" s="129">
        <f t="shared" si="85"/>
        <v>0</v>
      </c>
    </row>
    <row r="291" spans="1:49" x14ac:dyDescent="0.15">
      <c r="A291" s="157"/>
      <c r="B291" s="158"/>
      <c r="C291" s="158"/>
      <c r="D291" s="149" t="str">
        <f t="shared" si="86"/>
        <v xml:space="preserve"> </v>
      </c>
      <c r="E291" s="161"/>
      <c r="F291" s="261">
        <v>0</v>
      </c>
      <c r="G291" s="161">
        <v>37</v>
      </c>
      <c r="H291" s="161">
        <v>37</v>
      </c>
      <c r="I291" s="161"/>
      <c r="J291" s="163"/>
      <c r="K291" s="161"/>
      <c r="L291" s="163"/>
      <c r="M291" s="150"/>
      <c r="N291" s="150"/>
      <c r="O291" s="150"/>
      <c r="P291" s="150"/>
      <c r="Q291" s="151"/>
      <c r="R291" s="151"/>
      <c r="S291" s="152"/>
      <c r="V291" s="129">
        <f t="shared" si="77"/>
        <v>0</v>
      </c>
      <c r="W291" s="129">
        <f t="shared" si="78"/>
        <v>0</v>
      </c>
      <c r="X291" s="129">
        <f t="shared" si="69"/>
        <v>0</v>
      </c>
      <c r="Y291" s="129">
        <f t="shared" si="79"/>
        <v>65.337800000000001</v>
      </c>
      <c r="Z291" s="153">
        <f t="shared" si="71"/>
        <v>0</v>
      </c>
      <c r="AA291" s="248">
        <f t="shared" si="72"/>
        <v>0</v>
      </c>
      <c r="AB291" s="153">
        <f t="shared" si="80"/>
        <v>0</v>
      </c>
      <c r="AC291" s="248">
        <f t="shared" si="73"/>
        <v>0</v>
      </c>
      <c r="AD291" s="153">
        <f t="shared" si="74"/>
        <v>0</v>
      </c>
      <c r="AE291" s="248">
        <f t="shared" si="75"/>
        <v>0</v>
      </c>
      <c r="AF291" s="153">
        <f t="shared" si="81"/>
        <v>0</v>
      </c>
      <c r="AG291" s="248">
        <f t="shared" si="76"/>
        <v>0</v>
      </c>
      <c r="AH291" s="153">
        <f t="shared" si="82"/>
        <v>0</v>
      </c>
      <c r="AI291" s="153"/>
      <c r="AJ291" s="153">
        <f t="shared" si="83"/>
        <v>0</v>
      </c>
      <c r="AK291" s="153">
        <f t="shared" si="84"/>
        <v>0</v>
      </c>
      <c r="AL291" s="153"/>
      <c r="AM291" s="153"/>
      <c r="AN291" s="153"/>
      <c r="AQ291" s="153"/>
      <c r="AW291" s="129">
        <f t="shared" si="85"/>
        <v>0</v>
      </c>
    </row>
    <row r="292" spans="1:49" ht="9.75" thickBot="1" x14ac:dyDescent="0.2">
      <c r="A292" s="159"/>
      <c r="B292" s="160"/>
      <c r="C292" s="160"/>
      <c r="D292" s="154" t="str">
        <f t="shared" si="86"/>
        <v xml:space="preserve"> </v>
      </c>
      <c r="E292" s="162"/>
      <c r="F292" s="262">
        <v>0</v>
      </c>
      <c r="G292" s="162">
        <v>37</v>
      </c>
      <c r="H292" s="162">
        <v>37</v>
      </c>
      <c r="I292" s="162"/>
      <c r="J292" s="164"/>
      <c r="K292" s="162"/>
      <c r="L292" s="164"/>
      <c r="M292" s="164"/>
      <c r="N292" s="162"/>
      <c r="O292" s="162"/>
      <c r="P292" s="162"/>
      <c r="Q292" s="155">
        <f>AS292</f>
        <v>0</v>
      </c>
      <c r="R292" s="155">
        <f>AT292</f>
        <v>0</v>
      </c>
      <c r="S292" s="156">
        <f>AU292</f>
        <v>0</v>
      </c>
      <c r="U292" s="129">
        <f>IF(OR(C291=5,C292=5),0,1)</f>
        <v>1</v>
      </c>
      <c r="V292" s="129">
        <f t="shared" si="77"/>
        <v>0</v>
      </c>
      <c r="W292" s="129">
        <f t="shared" si="78"/>
        <v>0</v>
      </c>
      <c r="X292" s="129">
        <f t="shared" si="69"/>
        <v>0</v>
      </c>
      <c r="Y292" s="129">
        <f t="shared" si="79"/>
        <v>65.337800000000001</v>
      </c>
      <c r="Z292" s="153">
        <f t="shared" si="71"/>
        <v>0</v>
      </c>
      <c r="AA292" s="248">
        <f t="shared" si="72"/>
        <v>0</v>
      </c>
      <c r="AB292" s="153">
        <f t="shared" si="80"/>
        <v>0</v>
      </c>
      <c r="AC292" s="248">
        <f t="shared" si="73"/>
        <v>0</v>
      </c>
      <c r="AD292" s="153">
        <f t="shared" si="74"/>
        <v>0</v>
      </c>
      <c r="AE292" s="248">
        <f t="shared" si="75"/>
        <v>0</v>
      </c>
      <c r="AF292" s="153">
        <f t="shared" si="81"/>
        <v>0</v>
      </c>
      <c r="AG292" s="248">
        <f t="shared" si="76"/>
        <v>0</v>
      </c>
      <c r="AH292" s="153">
        <f t="shared" si="82"/>
        <v>0</v>
      </c>
      <c r="AI292" s="153"/>
      <c r="AJ292" s="153">
        <f t="shared" si="83"/>
        <v>0</v>
      </c>
      <c r="AK292" s="153">
        <f t="shared" si="84"/>
        <v>0</v>
      </c>
      <c r="AL292" s="153"/>
      <c r="AM292" s="153">
        <f>AK291*W291+AK292*W292</f>
        <v>0</v>
      </c>
      <c r="AN292" s="153">
        <f>(SUM(AD291:AG291)*W291+SUM(AD292:AG292)*W292)*12*VLOOKUP(C292,JNovergang,3,1)</f>
        <v>0</v>
      </c>
      <c r="AO292" s="153">
        <f>AM292-AN292</f>
        <v>0</v>
      </c>
      <c r="AP292" s="153">
        <f>M292*(100+X292)%</f>
        <v>0</v>
      </c>
      <c r="AQ292" s="248">
        <f>ROUND(M292*F292,2)</f>
        <v>0</v>
      </c>
      <c r="AS292" s="248">
        <f>ROUND((AP292+AQ292)+AM292*(N292/12),0)</f>
        <v>0</v>
      </c>
      <c r="AT292" s="248">
        <f>ROUND(AM292*(O292/12),0)</f>
        <v>0</v>
      </c>
      <c r="AU292" s="248">
        <f>ROUND(AM292*(P292/12)*U292,0)</f>
        <v>0</v>
      </c>
      <c r="AW292" s="129">
        <f t="shared" si="85"/>
        <v>0</v>
      </c>
    </row>
    <row r="293" spans="1:49" x14ac:dyDescent="0.15">
      <c r="A293" s="157"/>
      <c r="B293" s="158"/>
      <c r="C293" s="158"/>
      <c r="D293" s="149" t="str">
        <f t="shared" si="86"/>
        <v xml:space="preserve"> </v>
      </c>
      <c r="E293" s="161"/>
      <c r="F293" s="261">
        <v>0</v>
      </c>
      <c r="G293" s="161">
        <v>37</v>
      </c>
      <c r="H293" s="161">
        <v>37</v>
      </c>
      <c r="I293" s="161"/>
      <c r="J293" s="163"/>
      <c r="K293" s="161"/>
      <c r="L293" s="163"/>
      <c r="M293" s="150"/>
      <c r="N293" s="150"/>
      <c r="O293" s="150"/>
      <c r="P293" s="150"/>
      <c r="Q293" s="151"/>
      <c r="R293" s="151"/>
      <c r="S293" s="152"/>
      <c r="V293" s="129">
        <f t="shared" si="77"/>
        <v>0</v>
      </c>
      <c r="W293" s="129">
        <f t="shared" si="78"/>
        <v>0</v>
      </c>
      <c r="X293" s="129">
        <f t="shared" si="69"/>
        <v>0</v>
      </c>
      <c r="Y293" s="129">
        <f t="shared" si="79"/>
        <v>65.337800000000001</v>
      </c>
      <c r="Z293" s="153">
        <f t="shared" si="71"/>
        <v>0</v>
      </c>
      <c r="AA293" s="248">
        <f t="shared" si="72"/>
        <v>0</v>
      </c>
      <c r="AB293" s="153">
        <f t="shared" si="80"/>
        <v>0</v>
      </c>
      <c r="AC293" s="248">
        <f t="shared" si="73"/>
        <v>0</v>
      </c>
      <c r="AD293" s="153">
        <f t="shared" si="74"/>
        <v>0</v>
      </c>
      <c r="AE293" s="248">
        <f t="shared" si="75"/>
        <v>0</v>
      </c>
      <c r="AF293" s="153">
        <f t="shared" si="81"/>
        <v>0</v>
      </c>
      <c r="AG293" s="248">
        <f t="shared" si="76"/>
        <v>0</v>
      </c>
      <c r="AH293" s="153">
        <f t="shared" si="82"/>
        <v>0</v>
      </c>
      <c r="AI293" s="153"/>
      <c r="AJ293" s="153">
        <f t="shared" si="83"/>
        <v>0</v>
      </c>
      <c r="AK293" s="153">
        <f t="shared" si="84"/>
        <v>0</v>
      </c>
      <c r="AL293" s="153"/>
      <c r="AM293" s="153"/>
      <c r="AN293" s="153"/>
      <c r="AQ293" s="153"/>
      <c r="AW293" s="129">
        <f t="shared" si="85"/>
        <v>0</v>
      </c>
    </row>
    <row r="294" spans="1:49" ht="9.75" thickBot="1" x14ac:dyDescent="0.2">
      <c r="A294" s="159"/>
      <c r="B294" s="160"/>
      <c r="C294" s="160"/>
      <c r="D294" s="154" t="str">
        <f t="shared" si="86"/>
        <v xml:space="preserve"> </v>
      </c>
      <c r="E294" s="162"/>
      <c r="F294" s="262">
        <v>0</v>
      </c>
      <c r="G294" s="162">
        <v>37</v>
      </c>
      <c r="H294" s="162">
        <v>37</v>
      </c>
      <c r="I294" s="162"/>
      <c r="J294" s="164"/>
      <c r="K294" s="162"/>
      <c r="L294" s="164"/>
      <c r="M294" s="164"/>
      <c r="N294" s="162"/>
      <c r="O294" s="162"/>
      <c r="P294" s="162"/>
      <c r="Q294" s="155">
        <f>AS294</f>
        <v>0</v>
      </c>
      <c r="R294" s="155">
        <f>AT294</f>
        <v>0</v>
      </c>
      <c r="S294" s="156">
        <f>AU294</f>
        <v>0</v>
      </c>
      <c r="U294" s="129">
        <f>IF(OR(C293=5,C294=5),0,1)</f>
        <v>1</v>
      </c>
      <c r="V294" s="129">
        <f t="shared" si="77"/>
        <v>0</v>
      </c>
      <c r="W294" s="129">
        <f t="shared" si="78"/>
        <v>0</v>
      </c>
      <c r="X294" s="129">
        <f t="shared" si="69"/>
        <v>0</v>
      </c>
      <c r="Y294" s="129">
        <f t="shared" si="79"/>
        <v>65.337800000000001</v>
      </c>
      <c r="Z294" s="153">
        <f t="shared" si="71"/>
        <v>0</v>
      </c>
      <c r="AA294" s="248">
        <f t="shared" si="72"/>
        <v>0</v>
      </c>
      <c r="AB294" s="153">
        <f t="shared" si="80"/>
        <v>0</v>
      </c>
      <c r="AC294" s="248">
        <f t="shared" si="73"/>
        <v>0</v>
      </c>
      <c r="AD294" s="153">
        <f t="shared" si="74"/>
        <v>0</v>
      </c>
      <c r="AE294" s="248">
        <f t="shared" si="75"/>
        <v>0</v>
      </c>
      <c r="AF294" s="153">
        <f t="shared" si="81"/>
        <v>0</v>
      </c>
      <c r="AG294" s="248">
        <f t="shared" si="76"/>
        <v>0</v>
      </c>
      <c r="AH294" s="153">
        <f t="shared" si="82"/>
        <v>0</v>
      </c>
      <c r="AI294" s="153"/>
      <c r="AJ294" s="153">
        <f t="shared" si="83"/>
        <v>0</v>
      </c>
      <c r="AK294" s="153">
        <f t="shared" si="84"/>
        <v>0</v>
      </c>
      <c r="AL294" s="153"/>
      <c r="AM294" s="153">
        <f>AK293*W293+AK294*W294</f>
        <v>0</v>
      </c>
      <c r="AN294" s="153">
        <f>(SUM(AD293:AG293)*W293+SUM(AD294:AG294)*W294)*12*VLOOKUP(C294,JNovergang,3,1)</f>
        <v>0</v>
      </c>
      <c r="AO294" s="153">
        <f>AM294-AN294</f>
        <v>0</v>
      </c>
      <c r="AP294" s="153">
        <f>M294*(100+X294)%</f>
        <v>0</v>
      </c>
      <c r="AQ294" s="248">
        <f>ROUND(M294*F294,2)</f>
        <v>0</v>
      </c>
      <c r="AS294" s="248">
        <f>ROUND((AP294+AQ294)+AM294*(N294/12),0)</f>
        <v>0</v>
      </c>
      <c r="AT294" s="248">
        <f>ROUND(AM294*(O294/12),0)</f>
        <v>0</v>
      </c>
      <c r="AU294" s="248">
        <f>ROUND(AM294*(P294/12)*U294,0)</f>
        <v>0</v>
      </c>
      <c r="AW294" s="129">
        <f t="shared" si="85"/>
        <v>0</v>
      </c>
    </row>
    <row r="295" spans="1:49" x14ac:dyDescent="0.15">
      <c r="A295" s="157"/>
      <c r="B295" s="158"/>
      <c r="C295" s="158"/>
      <c r="D295" s="149" t="str">
        <f t="shared" si="86"/>
        <v xml:space="preserve"> </v>
      </c>
      <c r="E295" s="161"/>
      <c r="F295" s="261">
        <v>0</v>
      </c>
      <c r="G295" s="161">
        <v>37</v>
      </c>
      <c r="H295" s="161">
        <v>37</v>
      </c>
      <c r="I295" s="161"/>
      <c r="J295" s="163"/>
      <c r="K295" s="161"/>
      <c r="L295" s="163"/>
      <c r="M295" s="150"/>
      <c r="N295" s="150"/>
      <c r="O295" s="150"/>
      <c r="P295" s="150"/>
      <c r="Q295" s="151"/>
      <c r="R295" s="151"/>
      <c r="S295" s="152"/>
      <c r="V295" s="129">
        <f t="shared" si="77"/>
        <v>0</v>
      </c>
      <c r="W295" s="129">
        <f t="shared" si="78"/>
        <v>0</v>
      </c>
      <c r="X295" s="129">
        <f t="shared" si="69"/>
        <v>0</v>
      </c>
      <c r="Y295" s="129">
        <f t="shared" si="79"/>
        <v>65.337800000000001</v>
      </c>
      <c r="Z295" s="153">
        <f t="shared" si="71"/>
        <v>0</v>
      </c>
      <c r="AA295" s="248">
        <f t="shared" si="72"/>
        <v>0</v>
      </c>
      <c r="AB295" s="153">
        <f t="shared" si="80"/>
        <v>0</v>
      </c>
      <c r="AC295" s="248">
        <f t="shared" si="73"/>
        <v>0</v>
      </c>
      <c r="AD295" s="153">
        <f t="shared" si="74"/>
        <v>0</v>
      </c>
      <c r="AE295" s="248">
        <f t="shared" si="75"/>
        <v>0</v>
      </c>
      <c r="AF295" s="153">
        <f t="shared" si="81"/>
        <v>0</v>
      </c>
      <c r="AG295" s="248">
        <f t="shared" si="76"/>
        <v>0</v>
      </c>
      <c r="AH295" s="153">
        <f t="shared" si="82"/>
        <v>0</v>
      </c>
      <c r="AI295" s="153"/>
      <c r="AJ295" s="153">
        <f t="shared" si="83"/>
        <v>0</v>
      </c>
      <c r="AK295" s="153">
        <f t="shared" si="84"/>
        <v>0</v>
      </c>
      <c r="AL295" s="153"/>
      <c r="AM295" s="153"/>
      <c r="AN295" s="153"/>
      <c r="AQ295" s="153"/>
      <c r="AW295" s="129">
        <f t="shared" si="85"/>
        <v>0</v>
      </c>
    </row>
    <row r="296" spans="1:49" ht="9.75" thickBot="1" x14ac:dyDescent="0.2">
      <c r="A296" s="159"/>
      <c r="B296" s="160"/>
      <c r="C296" s="160"/>
      <c r="D296" s="154" t="str">
        <f t="shared" si="86"/>
        <v xml:space="preserve"> </v>
      </c>
      <c r="E296" s="162"/>
      <c r="F296" s="262">
        <v>0</v>
      </c>
      <c r="G296" s="162">
        <v>37</v>
      </c>
      <c r="H296" s="162">
        <v>37</v>
      </c>
      <c r="I296" s="162"/>
      <c r="J296" s="164"/>
      <c r="K296" s="162"/>
      <c r="L296" s="164"/>
      <c r="M296" s="164"/>
      <c r="N296" s="162"/>
      <c r="O296" s="162"/>
      <c r="P296" s="162"/>
      <c r="Q296" s="155">
        <f>AS296</f>
        <v>0</v>
      </c>
      <c r="R296" s="155">
        <f>AT296</f>
        <v>0</v>
      </c>
      <c r="S296" s="156">
        <f>AU296</f>
        <v>0</v>
      </c>
      <c r="U296" s="129">
        <f>IF(OR(C295=5,C296=5),0,1)</f>
        <v>1</v>
      </c>
      <c r="V296" s="129">
        <f t="shared" si="77"/>
        <v>0</v>
      </c>
      <c r="W296" s="129">
        <f t="shared" si="78"/>
        <v>0</v>
      </c>
      <c r="X296" s="129">
        <f t="shared" si="69"/>
        <v>0</v>
      </c>
      <c r="Y296" s="129">
        <f t="shared" si="79"/>
        <v>65.337800000000001</v>
      </c>
      <c r="Z296" s="153">
        <f t="shared" si="71"/>
        <v>0</v>
      </c>
      <c r="AA296" s="248">
        <f t="shared" si="72"/>
        <v>0</v>
      </c>
      <c r="AB296" s="153">
        <f t="shared" si="80"/>
        <v>0</v>
      </c>
      <c r="AC296" s="248">
        <f t="shared" si="73"/>
        <v>0</v>
      </c>
      <c r="AD296" s="153">
        <f t="shared" si="74"/>
        <v>0</v>
      </c>
      <c r="AE296" s="248">
        <f t="shared" si="75"/>
        <v>0</v>
      </c>
      <c r="AF296" s="153">
        <f t="shared" si="81"/>
        <v>0</v>
      </c>
      <c r="AG296" s="248">
        <f t="shared" si="76"/>
        <v>0</v>
      </c>
      <c r="AH296" s="153">
        <f t="shared" si="82"/>
        <v>0</v>
      </c>
      <c r="AI296" s="153"/>
      <c r="AJ296" s="153">
        <f t="shared" si="83"/>
        <v>0</v>
      </c>
      <c r="AK296" s="153">
        <f t="shared" si="84"/>
        <v>0</v>
      </c>
      <c r="AL296" s="153"/>
      <c r="AM296" s="153">
        <f>AK295*W295+AK296*W296</f>
        <v>0</v>
      </c>
      <c r="AN296" s="153">
        <f>(SUM(AD295:AG295)*W295+SUM(AD296:AG296)*W296)*12*VLOOKUP(C296,JNovergang,3,1)</f>
        <v>0</v>
      </c>
      <c r="AO296" s="153">
        <f>AM296-AN296</f>
        <v>0</v>
      </c>
      <c r="AP296" s="153">
        <f>M296*(100+X296)%</f>
        <v>0</v>
      </c>
      <c r="AQ296" s="248">
        <f>ROUND(M296*F296,2)</f>
        <v>0</v>
      </c>
      <c r="AS296" s="248">
        <f>ROUND((AP296+AQ296)+AM296*(N296/12),0)</f>
        <v>0</v>
      </c>
      <c r="AT296" s="248">
        <f>ROUND(AM296*(O296/12),0)</f>
        <v>0</v>
      </c>
      <c r="AU296" s="248">
        <f>ROUND(AM296*(P296/12)*U296,0)</f>
        <v>0</v>
      </c>
      <c r="AW296" s="129">
        <f t="shared" si="85"/>
        <v>0</v>
      </c>
    </row>
    <row r="297" spans="1:49" x14ac:dyDescent="0.15">
      <c r="A297" s="157"/>
      <c r="B297" s="158"/>
      <c r="C297" s="158"/>
      <c r="D297" s="149" t="str">
        <f t="shared" si="86"/>
        <v xml:space="preserve"> </v>
      </c>
      <c r="E297" s="161"/>
      <c r="F297" s="261">
        <v>0</v>
      </c>
      <c r="G297" s="161">
        <v>37</v>
      </c>
      <c r="H297" s="161">
        <v>37</v>
      </c>
      <c r="I297" s="161"/>
      <c r="J297" s="163"/>
      <c r="K297" s="161"/>
      <c r="L297" s="163"/>
      <c r="M297" s="150"/>
      <c r="N297" s="150"/>
      <c r="O297" s="150"/>
      <c r="P297" s="150"/>
      <c r="Q297" s="151"/>
      <c r="R297" s="151"/>
      <c r="S297" s="152"/>
      <c r="V297" s="129">
        <f t="shared" si="77"/>
        <v>0</v>
      </c>
      <c r="W297" s="129">
        <f t="shared" si="78"/>
        <v>0</v>
      </c>
      <c r="X297" s="129">
        <f t="shared" si="69"/>
        <v>0</v>
      </c>
      <c r="Y297" s="129">
        <f t="shared" si="79"/>
        <v>65.337800000000001</v>
      </c>
      <c r="Z297" s="153">
        <f t="shared" si="71"/>
        <v>0</v>
      </c>
      <c r="AA297" s="248">
        <f t="shared" si="72"/>
        <v>0</v>
      </c>
      <c r="AB297" s="153">
        <f t="shared" si="80"/>
        <v>0</v>
      </c>
      <c r="AC297" s="248">
        <f t="shared" si="73"/>
        <v>0</v>
      </c>
      <c r="AD297" s="153">
        <f t="shared" si="74"/>
        <v>0</v>
      </c>
      <c r="AE297" s="248">
        <f t="shared" si="75"/>
        <v>0</v>
      </c>
      <c r="AF297" s="153">
        <f t="shared" si="81"/>
        <v>0</v>
      </c>
      <c r="AG297" s="248">
        <f t="shared" si="76"/>
        <v>0</v>
      </c>
      <c r="AH297" s="153">
        <f t="shared" si="82"/>
        <v>0</v>
      </c>
      <c r="AI297" s="153"/>
      <c r="AJ297" s="153">
        <f t="shared" si="83"/>
        <v>0</v>
      </c>
      <c r="AK297" s="153">
        <f t="shared" si="84"/>
        <v>0</v>
      </c>
      <c r="AL297" s="153"/>
      <c r="AM297" s="153"/>
      <c r="AN297" s="153"/>
      <c r="AQ297" s="153"/>
      <c r="AW297" s="129">
        <f t="shared" si="85"/>
        <v>0</v>
      </c>
    </row>
    <row r="298" spans="1:49" ht="9.75" thickBot="1" x14ac:dyDescent="0.2">
      <c r="A298" s="159"/>
      <c r="B298" s="160"/>
      <c r="C298" s="160"/>
      <c r="D298" s="154" t="str">
        <f t="shared" si="86"/>
        <v xml:space="preserve"> </v>
      </c>
      <c r="E298" s="162"/>
      <c r="F298" s="262">
        <v>0</v>
      </c>
      <c r="G298" s="162">
        <v>37</v>
      </c>
      <c r="H298" s="162">
        <v>37</v>
      </c>
      <c r="I298" s="162"/>
      <c r="J298" s="164"/>
      <c r="K298" s="162"/>
      <c r="L298" s="164"/>
      <c r="M298" s="164"/>
      <c r="N298" s="162"/>
      <c r="O298" s="162"/>
      <c r="P298" s="162"/>
      <c r="Q298" s="155">
        <f>AS298</f>
        <v>0</v>
      </c>
      <c r="R298" s="155">
        <f>AT298</f>
        <v>0</v>
      </c>
      <c r="S298" s="156">
        <f>AU298</f>
        <v>0</v>
      </c>
      <c r="U298" s="129">
        <f>IF(OR(C297=5,C298=5),0,1)</f>
        <v>1</v>
      </c>
      <c r="V298" s="129">
        <f t="shared" si="77"/>
        <v>0</v>
      </c>
      <c r="W298" s="129">
        <f t="shared" si="78"/>
        <v>0</v>
      </c>
      <c r="X298" s="129">
        <f t="shared" si="69"/>
        <v>0</v>
      </c>
      <c r="Y298" s="129">
        <f t="shared" si="79"/>
        <v>65.337800000000001</v>
      </c>
      <c r="Z298" s="153">
        <f t="shared" si="71"/>
        <v>0</v>
      </c>
      <c r="AA298" s="248">
        <f t="shared" si="72"/>
        <v>0</v>
      </c>
      <c r="AB298" s="153">
        <f t="shared" si="80"/>
        <v>0</v>
      </c>
      <c r="AC298" s="248">
        <f t="shared" si="73"/>
        <v>0</v>
      </c>
      <c r="AD298" s="153">
        <f t="shared" si="74"/>
        <v>0</v>
      </c>
      <c r="AE298" s="248">
        <f t="shared" si="75"/>
        <v>0</v>
      </c>
      <c r="AF298" s="153">
        <f t="shared" si="81"/>
        <v>0</v>
      </c>
      <c r="AG298" s="248">
        <f t="shared" si="76"/>
        <v>0</v>
      </c>
      <c r="AH298" s="153">
        <f t="shared" si="82"/>
        <v>0</v>
      </c>
      <c r="AI298" s="153"/>
      <c r="AJ298" s="153">
        <f t="shared" si="83"/>
        <v>0</v>
      </c>
      <c r="AK298" s="153">
        <f t="shared" si="84"/>
        <v>0</v>
      </c>
      <c r="AL298" s="153"/>
      <c r="AM298" s="153">
        <f>AK297*W297+AK298*W298</f>
        <v>0</v>
      </c>
      <c r="AN298" s="153">
        <f>(SUM(AD297:AG297)*W297+SUM(AD298:AG298)*W298)*12*VLOOKUP(C298,JNovergang,3,1)</f>
        <v>0</v>
      </c>
      <c r="AO298" s="153">
        <f>AM298-AN298</f>
        <v>0</v>
      </c>
      <c r="AP298" s="153">
        <f>M298*(100+X298)%</f>
        <v>0</v>
      </c>
      <c r="AQ298" s="248">
        <f>ROUND(M298*F298,2)</f>
        <v>0</v>
      </c>
      <c r="AS298" s="248">
        <f>ROUND((AP298+AQ298)+AM298*(N298/12),0)</f>
        <v>0</v>
      </c>
      <c r="AT298" s="248">
        <f>ROUND(AM298*(O298/12),0)</f>
        <v>0</v>
      </c>
      <c r="AU298" s="248">
        <f>ROUND(AM298*(P298/12)*U298,0)</f>
        <v>0</v>
      </c>
      <c r="AW298" s="129">
        <f t="shared" si="85"/>
        <v>0</v>
      </c>
    </row>
    <row r="299" spans="1:49" x14ac:dyDescent="0.15">
      <c r="A299" s="157"/>
      <c r="B299" s="158"/>
      <c r="C299" s="158"/>
      <c r="D299" s="149" t="str">
        <f t="shared" si="86"/>
        <v xml:space="preserve"> </v>
      </c>
      <c r="E299" s="161"/>
      <c r="F299" s="261">
        <v>0</v>
      </c>
      <c r="G299" s="161">
        <v>37</v>
      </c>
      <c r="H299" s="161">
        <v>37</v>
      </c>
      <c r="I299" s="161"/>
      <c r="J299" s="163"/>
      <c r="K299" s="161"/>
      <c r="L299" s="163"/>
      <c r="M299" s="150"/>
      <c r="N299" s="150"/>
      <c r="O299" s="150"/>
      <c r="P299" s="150"/>
      <c r="Q299" s="151"/>
      <c r="R299" s="151"/>
      <c r="S299" s="152"/>
      <c r="V299" s="129">
        <f t="shared" si="77"/>
        <v>0</v>
      </c>
      <c r="W299" s="129">
        <f t="shared" si="78"/>
        <v>0</v>
      </c>
      <c r="X299" s="129">
        <f t="shared" si="69"/>
        <v>0</v>
      </c>
      <c r="Y299" s="129">
        <f t="shared" si="79"/>
        <v>65.337800000000001</v>
      </c>
      <c r="Z299" s="153">
        <f t="shared" si="71"/>
        <v>0</v>
      </c>
      <c r="AA299" s="248">
        <f t="shared" si="72"/>
        <v>0</v>
      </c>
      <c r="AB299" s="153">
        <f t="shared" si="80"/>
        <v>0</v>
      </c>
      <c r="AC299" s="248">
        <f t="shared" si="73"/>
        <v>0</v>
      </c>
      <c r="AD299" s="153">
        <f t="shared" si="74"/>
        <v>0</v>
      </c>
      <c r="AE299" s="248">
        <f t="shared" si="75"/>
        <v>0</v>
      </c>
      <c r="AF299" s="153">
        <f t="shared" si="81"/>
        <v>0</v>
      </c>
      <c r="AG299" s="248">
        <f t="shared" si="76"/>
        <v>0</v>
      </c>
      <c r="AH299" s="153">
        <f t="shared" si="82"/>
        <v>0</v>
      </c>
      <c r="AI299" s="153"/>
      <c r="AJ299" s="153">
        <f t="shared" si="83"/>
        <v>0</v>
      </c>
      <c r="AK299" s="153">
        <f t="shared" si="84"/>
        <v>0</v>
      </c>
      <c r="AL299" s="153"/>
      <c r="AM299" s="153"/>
      <c r="AN299" s="153"/>
      <c r="AQ299" s="153"/>
      <c r="AW299" s="129">
        <f t="shared" si="85"/>
        <v>0</v>
      </c>
    </row>
    <row r="300" spans="1:49" ht="9.75" thickBot="1" x14ac:dyDescent="0.2">
      <c r="A300" s="159"/>
      <c r="B300" s="160"/>
      <c r="C300" s="160"/>
      <c r="D300" s="154" t="str">
        <f t="shared" si="86"/>
        <v xml:space="preserve"> </v>
      </c>
      <c r="E300" s="162"/>
      <c r="F300" s="262">
        <v>0</v>
      </c>
      <c r="G300" s="162">
        <v>37</v>
      </c>
      <c r="H300" s="162">
        <v>37</v>
      </c>
      <c r="I300" s="162"/>
      <c r="J300" s="164"/>
      <c r="K300" s="162"/>
      <c r="L300" s="164"/>
      <c r="M300" s="164"/>
      <c r="N300" s="162"/>
      <c r="O300" s="162"/>
      <c r="P300" s="162"/>
      <c r="Q300" s="155">
        <f>AS300</f>
        <v>0</v>
      </c>
      <c r="R300" s="155">
        <f>AT300</f>
        <v>0</v>
      </c>
      <c r="S300" s="156">
        <f>AU300</f>
        <v>0</v>
      </c>
      <c r="U300" s="129">
        <f>IF(OR(C299=5,C300=5),0,1)</f>
        <v>1</v>
      </c>
      <c r="V300" s="129">
        <f t="shared" si="77"/>
        <v>0</v>
      </c>
      <c r="W300" s="129">
        <f t="shared" si="78"/>
        <v>0</v>
      </c>
      <c r="X300" s="129">
        <f t="shared" si="69"/>
        <v>0</v>
      </c>
      <c r="Y300" s="129">
        <f t="shared" si="79"/>
        <v>65.337800000000001</v>
      </c>
      <c r="Z300" s="153">
        <f t="shared" si="71"/>
        <v>0</v>
      </c>
      <c r="AA300" s="248">
        <f t="shared" si="72"/>
        <v>0</v>
      </c>
      <c r="AB300" s="153">
        <f t="shared" si="80"/>
        <v>0</v>
      </c>
      <c r="AC300" s="248">
        <f t="shared" si="73"/>
        <v>0</v>
      </c>
      <c r="AD300" s="153">
        <f t="shared" si="74"/>
        <v>0</v>
      </c>
      <c r="AE300" s="248">
        <f t="shared" si="75"/>
        <v>0</v>
      </c>
      <c r="AF300" s="153">
        <f t="shared" si="81"/>
        <v>0</v>
      </c>
      <c r="AG300" s="248">
        <f t="shared" si="76"/>
        <v>0</v>
      </c>
      <c r="AH300" s="153">
        <f t="shared" si="82"/>
        <v>0</v>
      </c>
      <c r="AI300" s="153"/>
      <c r="AJ300" s="153">
        <f t="shared" si="83"/>
        <v>0</v>
      </c>
      <c r="AK300" s="153">
        <f t="shared" si="84"/>
        <v>0</v>
      </c>
      <c r="AL300" s="153"/>
      <c r="AM300" s="153">
        <f>AK299*W299+AK300*W300</f>
        <v>0</v>
      </c>
      <c r="AN300" s="153">
        <f>(SUM(AD299:AG299)*W299+SUM(AD300:AG300)*W300)*12*VLOOKUP(C300,JNovergang,3,1)</f>
        <v>0</v>
      </c>
      <c r="AO300" s="153">
        <f>AM300-AN300</f>
        <v>0</v>
      </c>
      <c r="AP300" s="153">
        <f>M300*(100+X300)%</f>
        <v>0</v>
      </c>
      <c r="AQ300" s="248">
        <f>ROUND(M300*F300,2)</f>
        <v>0</v>
      </c>
      <c r="AS300" s="248">
        <f>ROUND((AP300+AQ300)+AM300*(N300/12),0)</f>
        <v>0</v>
      </c>
      <c r="AT300" s="248">
        <f>ROUND(AM300*(O300/12),0)</f>
        <v>0</v>
      </c>
      <c r="AU300" s="248">
        <f>ROUND(AM300*(P300/12)*U300,0)</f>
        <v>0</v>
      </c>
      <c r="AW300" s="129">
        <f t="shared" si="85"/>
        <v>0</v>
      </c>
    </row>
    <row r="301" spans="1:49" x14ac:dyDescent="0.15">
      <c r="A301" s="157"/>
      <c r="B301" s="158"/>
      <c r="C301" s="158"/>
      <c r="D301" s="149" t="str">
        <f t="shared" si="86"/>
        <v xml:space="preserve"> </v>
      </c>
      <c r="E301" s="161"/>
      <c r="F301" s="261">
        <v>0</v>
      </c>
      <c r="G301" s="161">
        <v>37</v>
      </c>
      <c r="H301" s="161">
        <v>37</v>
      </c>
      <c r="I301" s="161"/>
      <c r="J301" s="163"/>
      <c r="K301" s="161"/>
      <c r="L301" s="163"/>
      <c r="M301" s="150"/>
      <c r="N301" s="150"/>
      <c r="O301" s="150"/>
      <c r="P301" s="150"/>
      <c r="Q301" s="151"/>
      <c r="R301" s="151"/>
      <c r="S301" s="152"/>
      <c r="V301" s="129">
        <f t="shared" si="77"/>
        <v>0</v>
      </c>
      <c r="W301" s="129">
        <f t="shared" si="78"/>
        <v>0</v>
      </c>
      <c r="X301" s="129">
        <f t="shared" si="69"/>
        <v>0</v>
      </c>
      <c r="Y301" s="129">
        <f t="shared" si="79"/>
        <v>65.337800000000001</v>
      </c>
      <c r="Z301" s="153">
        <f t="shared" si="71"/>
        <v>0</v>
      </c>
      <c r="AA301" s="248">
        <f t="shared" si="72"/>
        <v>0</v>
      </c>
      <c r="AB301" s="153">
        <f t="shared" si="80"/>
        <v>0</v>
      </c>
      <c r="AC301" s="248">
        <f t="shared" si="73"/>
        <v>0</v>
      </c>
      <c r="AD301" s="153">
        <f t="shared" si="74"/>
        <v>0</v>
      </c>
      <c r="AE301" s="248">
        <f t="shared" si="75"/>
        <v>0</v>
      </c>
      <c r="AF301" s="153">
        <f t="shared" si="81"/>
        <v>0</v>
      </c>
      <c r="AG301" s="248">
        <f t="shared" si="76"/>
        <v>0</v>
      </c>
      <c r="AH301" s="153">
        <f t="shared" si="82"/>
        <v>0</v>
      </c>
      <c r="AI301" s="153"/>
      <c r="AJ301" s="153">
        <f t="shared" si="83"/>
        <v>0</v>
      </c>
      <c r="AK301" s="153">
        <f t="shared" si="84"/>
        <v>0</v>
      </c>
      <c r="AL301" s="153"/>
      <c r="AM301" s="153"/>
      <c r="AN301" s="153"/>
      <c r="AQ301" s="153"/>
      <c r="AW301" s="129">
        <f t="shared" si="85"/>
        <v>0</v>
      </c>
    </row>
    <row r="302" spans="1:49" ht="9.75" thickBot="1" x14ac:dyDescent="0.2">
      <c r="A302" s="159"/>
      <c r="B302" s="160"/>
      <c r="C302" s="160"/>
      <c r="D302" s="154" t="str">
        <f t="shared" si="86"/>
        <v xml:space="preserve"> </v>
      </c>
      <c r="E302" s="162"/>
      <c r="F302" s="262">
        <v>0</v>
      </c>
      <c r="G302" s="162">
        <v>37</v>
      </c>
      <c r="H302" s="162">
        <v>37</v>
      </c>
      <c r="I302" s="162"/>
      <c r="J302" s="164"/>
      <c r="K302" s="162"/>
      <c r="L302" s="164"/>
      <c r="M302" s="164"/>
      <c r="N302" s="162"/>
      <c r="O302" s="162"/>
      <c r="P302" s="162"/>
      <c r="Q302" s="155">
        <f>AS302</f>
        <v>0</v>
      </c>
      <c r="R302" s="155">
        <f>AT302</f>
        <v>0</v>
      </c>
      <c r="S302" s="156">
        <f>AU302</f>
        <v>0</v>
      </c>
      <c r="U302" s="129">
        <f>IF(OR(C301=5,C302=5),0,1)</f>
        <v>1</v>
      </c>
      <c r="V302" s="129">
        <f t="shared" si="77"/>
        <v>0</v>
      </c>
      <c r="W302" s="129">
        <f t="shared" si="78"/>
        <v>0</v>
      </c>
      <c r="X302" s="129">
        <f t="shared" si="69"/>
        <v>0</v>
      </c>
      <c r="Y302" s="129">
        <f t="shared" si="79"/>
        <v>65.337800000000001</v>
      </c>
      <c r="Z302" s="153">
        <f t="shared" si="71"/>
        <v>0</v>
      </c>
      <c r="AA302" s="248">
        <f t="shared" si="72"/>
        <v>0</v>
      </c>
      <c r="AB302" s="153">
        <f t="shared" si="80"/>
        <v>0</v>
      </c>
      <c r="AC302" s="248">
        <f t="shared" si="73"/>
        <v>0</v>
      </c>
      <c r="AD302" s="153">
        <f t="shared" si="74"/>
        <v>0</v>
      </c>
      <c r="AE302" s="248">
        <f t="shared" si="75"/>
        <v>0</v>
      </c>
      <c r="AF302" s="153">
        <f t="shared" si="81"/>
        <v>0</v>
      </c>
      <c r="AG302" s="248">
        <f t="shared" si="76"/>
        <v>0</v>
      </c>
      <c r="AH302" s="153">
        <f t="shared" si="82"/>
        <v>0</v>
      </c>
      <c r="AI302" s="153"/>
      <c r="AJ302" s="153">
        <f t="shared" si="83"/>
        <v>0</v>
      </c>
      <c r="AK302" s="153">
        <f t="shared" si="84"/>
        <v>0</v>
      </c>
      <c r="AL302" s="153"/>
      <c r="AM302" s="153">
        <f>AK301*W301+AK302*W302</f>
        <v>0</v>
      </c>
      <c r="AN302" s="153">
        <f>(SUM(AD301:AG301)*W301+SUM(AD302:AG302)*W302)*12*VLOOKUP(C302,JNovergang,3,1)</f>
        <v>0</v>
      </c>
      <c r="AO302" s="153">
        <f>AM302-AN302</f>
        <v>0</v>
      </c>
      <c r="AP302" s="153">
        <f>M302*(100+X302)%</f>
        <v>0</v>
      </c>
      <c r="AQ302" s="248">
        <f>ROUND(M302*F302,2)</f>
        <v>0</v>
      </c>
      <c r="AS302" s="248">
        <f>ROUND((AP302+AQ302)+AM302*(N302/12),0)</f>
        <v>0</v>
      </c>
      <c r="AT302" s="248">
        <f>ROUND(AM302*(O302/12),0)</f>
        <v>0</v>
      </c>
      <c r="AU302" s="248">
        <f>ROUND(AM302*(P302/12)*U302,0)</f>
        <v>0</v>
      </c>
      <c r="AW302" s="129">
        <f t="shared" si="85"/>
        <v>0</v>
      </c>
    </row>
    <row r="303" spans="1:49" x14ac:dyDescent="0.15">
      <c r="A303" s="157"/>
      <c r="B303" s="158"/>
      <c r="C303" s="158"/>
      <c r="D303" s="149" t="str">
        <f t="shared" si="86"/>
        <v xml:space="preserve"> </v>
      </c>
      <c r="E303" s="161"/>
      <c r="F303" s="261">
        <v>0</v>
      </c>
      <c r="G303" s="161">
        <v>37</v>
      </c>
      <c r="H303" s="161">
        <v>37</v>
      </c>
      <c r="I303" s="161"/>
      <c r="J303" s="163"/>
      <c r="K303" s="161"/>
      <c r="L303" s="163"/>
      <c r="M303" s="150"/>
      <c r="N303" s="150"/>
      <c r="O303" s="150"/>
      <c r="P303" s="150"/>
      <c r="Q303" s="151"/>
      <c r="R303" s="151"/>
      <c r="S303" s="152"/>
      <c r="V303" s="129">
        <f t="shared" si="77"/>
        <v>0</v>
      </c>
      <c r="W303" s="129">
        <f t="shared" si="78"/>
        <v>0</v>
      </c>
      <c r="X303" s="129">
        <f t="shared" si="69"/>
        <v>0</v>
      </c>
      <c r="Y303" s="129">
        <f t="shared" si="79"/>
        <v>65.337800000000001</v>
      </c>
      <c r="Z303" s="153">
        <f t="shared" si="71"/>
        <v>0</v>
      </c>
      <c r="AA303" s="248">
        <f t="shared" si="72"/>
        <v>0</v>
      </c>
      <c r="AB303" s="153">
        <f t="shared" si="80"/>
        <v>0</v>
      </c>
      <c r="AC303" s="248">
        <f t="shared" si="73"/>
        <v>0</v>
      </c>
      <c r="AD303" s="153">
        <f t="shared" si="74"/>
        <v>0</v>
      </c>
      <c r="AE303" s="248">
        <f t="shared" si="75"/>
        <v>0</v>
      </c>
      <c r="AF303" s="153">
        <f t="shared" si="81"/>
        <v>0</v>
      </c>
      <c r="AG303" s="248">
        <f t="shared" si="76"/>
        <v>0</v>
      </c>
      <c r="AH303" s="153">
        <f t="shared" si="82"/>
        <v>0</v>
      </c>
      <c r="AI303" s="153"/>
      <c r="AJ303" s="153">
        <f t="shared" si="83"/>
        <v>0</v>
      </c>
      <c r="AK303" s="153">
        <f t="shared" si="84"/>
        <v>0</v>
      </c>
      <c r="AL303" s="153"/>
      <c r="AM303" s="153"/>
      <c r="AN303" s="153"/>
      <c r="AQ303" s="153"/>
      <c r="AW303" s="129">
        <f t="shared" si="85"/>
        <v>0</v>
      </c>
    </row>
    <row r="304" spans="1:49" ht="9.75" thickBot="1" x14ac:dyDescent="0.2">
      <c r="A304" s="159"/>
      <c r="B304" s="160"/>
      <c r="C304" s="160"/>
      <c r="D304" s="154" t="str">
        <f t="shared" si="86"/>
        <v xml:space="preserve"> </v>
      </c>
      <c r="E304" s="162"/>
      <c r="F304" s="262">
        <v>0</v>
      </c>
      <c r="G304" s="162">
        <v>37</v>
      </c>
      <c r="H304" s="162">
        <v>37</v>
      </c>
      <c r="I304" s="162"/>
      <c r="J304" s="164"/>
      <c r="K304" s="162"/>
      <c r="L304" s="164"/>
      <c r="M304" s="164"/>
      <c r="N304" s="162"/>
      <c r="O304" s="162"/>
      <c r="P304" s="162"/>
      <c r="Q304" s="155">
        <f>AS304</f>
        <v>0</v>
      </c>
      <c r="R304" s="155">
        <f>AT304</f>
        <v>0</v>
      </c>
      <c r="S304" s="156">
        <f>AU304</f>
        <v>0</v>
      </c>
      <c r="U304" s="129">
        <f>IF(OR(C303=5,C304=5),0,1)</f>
        <v>1</v>
      </c>
      <c r="V304" s="129">
        <f t="shared" si="77"/>
        <v>0</v>
      </c>
      <c r="W304" s="129">
        <f t="shared" si="78"/>
        <v>0</v>
      </c>
      <c r="X304" s="129">
        <f t="shared" si="69"/>
        <v>0</v>
      </c>
      <c r="Y304" s="129">
        <f t="shared" si="79"/>
        <v>65.337800000000001</v>
      </c>
      <c r="Z304" s="153">
        <f t="shared" si="71"/>
        <v>0</v>
      </c>
      <c r="AA304" s="248">
        <f t="shared" si="72"/>
        <v>0</v>
      </c>
      <c r="AB304" s="153">
        <f t="shared" si="80"/>
        <v>0</v>
      </c>
      <c r="AC304" s="248">
        <f t="shared" si="73"/>
        <v>0</v>
      </c>
      <c r="AD304" s="153">
        <f t="shared" si="74"/>
        <v>0</v>
      </c>
      <c r="AE304" s="248">
        <f t="shared" si="75"/>
        <v>0</v>
      </c>
      <c r="AF304" s="153">
        <f t="shared" si="81"/>
        <v>0</v>
      </c>
      <c r="AG304" s="248">
        <f t="shared" si="76"/>
        <v>0</v>
      </c>
      <c r="AH304" s="153">
        <f t="shared" si="82"/>
        <v>0</v>
      </c>
      <c r="AI304" s="153"/>
      <c r="AJ304" s="153">
        <f t="shared" si="83"/>
        <v>0</v>
      </c>
      <c r="AK304" s="153">
        <f t="shared" si="84"/>
        <v>0</v>
      </c>
      <c r="AL304" s="153"/>
      <c r="AM304" s="153">
        <f>AK303*W303+AK304*W304</f>
        <v>0</v>
      </c>
      <c r="AN304" s="153">
        <f>(SUM(AD303:AG303)*W303+SUM(AD304:AG304)*W304)*12*VLOOKUP(C304,JNovergang,3,1)</f>
        <v>0</v>
      </c>
      <c r="AO304" s="153">
        <f>AM304-AN304</f>
        <v>0</v>
      </c>
      <c r="AP304" s="153">
        <f>M304*(100+X304)%</f>
        <v>0</v>
      </c>
      <c r="AQ304" s="248">
        <f>ROUND(M304*F304,2)</f>
        <v>0</v>
      </c>
      <c r="AS304" s="248">
        <f>ROUND((AP304+AQ304)+AM304*(N304/12),0)</f>
        <v>0</v>
      </c>
      <c r="AT304" s="248">
        <f>ROUND(AM304*(O304/12),0)</f>
        <v>0</v>
      </c>
      <c r="AU304" s="248">
        <f>ROUND(AM304*(P304/12)*U304,0)</f>
        <v>0</v>
      </c>
      <c r="AW304" s="129">
        <f t="shared" si="85"/>
        <v>0</v>
      </c>
    </row>
    <row r="305" spans="1:49" x14ac:dyDescent="0.15">
      <c r="A305" s="157"/>
      <c r="B305" s="158"/>
      <c r="C305" s="158"/>
      <c r="D305" s="149" t="str">
        <f t="shared" si="86"/>
        <v xml:space="preserve"> </v>
      </c>
      <c r="E305" s="161"/>
      <c r="F305" s="261">
        <v>0</v>
      </c>
      <c r="G305" s="161">
        <v>37</v>
      </c>
      <c r="H305" s="161">
        <v>37</v>
      </c>
      <c r="I305" s="161"/>
      <c r="J305" s="163"/>
      <c r="K305" s="161"/>
      <c r="L305" s="163"/>
      <c r="M305" s="150"/>
      <c r="N305" s="150"/>
      <c r="O305" s="150"/>
      <c r="P305" s="150"/>
      <c r="Q305" s="151"/>
      <c r="R305" s="151"/>
      <c r="S305" s="152"/>
      <c r="V305" s="129">
        <f t="shared" si="77"/>
        <v>0</v>
      </c>
      <c r="W305" s="129">
        <f t="shared" si="78"/>
        <v>0</v>
      </c>
      <c r="X305" s="129">
        <f t="shared" si="69"/>
        <v>0</v>
      </c>
      <c r="Y305" s="129">
        <f t="shared" si="79"/>
        <v>65.337800000000001</v>
      </c>
      <c r="Z305" s="153">
        <f t="shared" si="71"/>
        <v>0</v>
      </c>
      <c r="AA305" s="248">
        <f t="shared" si="72"/>
        <v>0</v>
      </c>
      <c r="AB305" s="153">
        <f t="shared" si="80"/>
        <v>0</v>
      </c>
      <c r="AC305" s="248">
        <f t="shared" si="73"/>
        <v>0</v>
      </c>
      <c r="AD305" s="153">
        <f t="shared" si="74"/>
        <v>0</v>
      </c>
      <c r="AE305" s="248">
        <f t="shared" si="75"/>
        <v>0</v>
      </c>
      <c r="AF305" s="153">
        <f t="shared" si="81"/>
        <v>0</v>
      </c>
      <c r="AG305" s="248">
        <f t="shared" si="76"/>
        <v>0</v>
      </c>
      <c r="AH305" s="153">
        <f t="shared" si="82"/>
        <v>0</v>
      </c>
      <c r="AI305" s="153"/>
      <c r="AJ305" s="153">
        <f t="shared" si="83"/>
        <v>0</v>
      </c>
      <c r="AK305" s="153">
        <f t="shared" si="84"/>
        <v>0</v>
      </c>
      <c r="AL305" s="153"/>
      <c r="AM305" s="153"/>
      <c r="AN305" s="153"/>
      <c r="AQ305" s="153"/>
      <c r="AW305" s="129">
        <f t="shared" si="85"/>
        <v>0</v>
      </c>
    </row>
    <row r="306" spans="1:49" ht="9.75" thickBot="1" x14ac:dyDescent="0.2">
      <c r="A306" s="159"/>
      <c r="B306" s="160"/>
      <c r="C306" s="160"/>
      <c r="D306" s="154" t="str">
        <f t="shared" si="86"/>
        <v xml:space="preserve"> </v>
      </c>
      <c r="E306" s="162"/>
      <c r="F306" s="262">
        <v>0</v>
      </c>
      <c r="G306" s="162">
        <v>37</v>
      </c>
      <c r="H306" s="162">
        <v>37</v>
      </c>
      <c r="I306" s="162"/>
      <c r="J306" s="164"/>
      <c r="K306" s="162"/>
      <c r="L306" s="164"/>
      <c r="M306" s="164"/>
      <c r="N306" s="162"/>
      <c r="O306" s="162"/>
      <c r="P306" s="162"/>
      <c r="Q306" s="155">
        <f>AS306</f>
        <v>0</v>
      </c>
      <c r="R306" s="155">
        <f>AT306</f>
        <v>0</v>
      </c>
      <c r="S306" s="156">
        <f>AU306</f>
        <v>0</v>
      </c>
      <c r="U306" s="129">
        <f>IF(OR(C305=5,C306=5),0,1)</f>
        <v>1</v>
      </c>
      <c r="V306" s="129">
        <f t="shared" si="77"/>
        <v>0</v>
      </c>
      <c r="W306" s="129">
        <f t="shared" si="78"/>
        <v>0</v>
      </c>
      <c r="X306" s="129">
        <f t="shared" si="69"/>
        <v>0</v>
      </c>
      <c r="Y306" s="129">
        <f t="shared" si="79"/>
        <v>65.337800000000001</v>
      </c>
      <c r="Z306" s="153">
        <f t="shared" si="71"/>
        <v>0</v>
      </c>
      <c r="AA306" s="248">
        <f t="shared" si="72"/>
        <v>0</v>
      </c>
      <c r="AB306" s="153">
        <f t="shared" si="80"/>
        <v>0</v>
      </c>
      <c r="AC306" s="248">
        <f t="shared" si="73"/>
        <v>0</v>
      </c>
      <c r="AD306" s="153">
        <f t="shared" si="74"/>
        <v>0</v>
      </c>
      <c r="AE306" s="248">
        <f t="shared" si="75"/>
        <v>0</v>
      </c>
      <c r="AF306" s="153">
        <f t="shared" si="81"/>
        <v>0</v>
      </c>
      <c r="AG306" s="248">
        <f t="shared" si="76"/>
        <v>0</v>
      </c>
      <c r="AH306" s="153">
        <f t="shared" si="82"/>
        <v>0</v>
      </c>
      <c r="AI306" s="153"/>
      <c r="AJ306" s="153">
        <f t="shared" si="83"/>
        <v>0</v>
      </c>
      <c r="AK306" s="153">
        <f t="shared" si="84"/>
        <v>0</v>
      </c>
      <c r="AL306" s="153"/>
      <c r="AM306" s="153">
        <f>AK305*W305+AK306*W306</f>
        <v>0</v>
      </c>
      <c r="AN306" s="153">
        <f>(SUM(AD305:AG305)*W305+SUM(AD306:AG306)*W306)*12*VLOOKUP(C306,JNovergang,3,1)</f>
        <v>0</v>
      </c>
      <c r="AO306" s="153">
        <f>AM306-AN306</f>
        <v>0</v>
      </c>
      <c r="AP306" s="153">
        <f>M306*(100+X306)%</f>
        <v>0</v>
      </c>
      <c r="AQ306" s="248">
        <f>ROUND(M306*F306,2)</f>
        <v>0</v>
      </c>
      <c r="AS306" s="248">
        <f>ROUND((AP306+AQ306)+AM306*(N306/12),0)</f>
        <v>0</v>
      </c>
      <c r="AT306" s="248">
        <f>ROUND(AM306*(O306/12),0)</f>
        <v>0</v>
      </c>
      <c r="AU306" s="248">
        <f>ROUND(AM306*(P306/12)*U306,0)</f>
        <v>0</v>
      </c>
      <c r="AW306" s="129">
        <f t="shared" si="85"/>
        <v>0</v>
      </c>
    </row>
    <row r="307" spans="1:49" x14ac:dyDescent="0.15">
      <c r="A307" s="157"/>
      <c r="B307" s="158"/>
      <c r="C307" s="158"/>
      <c r="D307" s="149" t="str">
        <f t="shared" si="86"/>
        <v xml:space="preserve"> </v>
      </c>
      <c r="E307" s="161"/>
      <c r="F307" s="261">
        <v>0</v>
      </c>
      <c r="G307" s="161">
        <v>37</v>
      </c>
      <c r="H307" s="161">
        <v>37</v>
      </c>
      <c r="I307" s="161"/>
      <c r="J307" s="163"/>
      <c r="K307" s="161"/>
      <c r="L307" s="163"/>
      <c r="M307" s="150"/>
      <c r="N307" s="150"/>
      <c r="O307" s="150"/>
      <c r="P307" s="150"/>
      <c r="Q307" s="151"/>
      <c r="R307" s="151"/>
      <c r="S307" s="152"/>
      <c r="V307" s="129">
        <f t="shared" si="77"/>
        <v>0</v>
      </c>
      <c r="W307" s="129">
        <f t="shared" si="78"/>
        <v>0</v>
      </c>
      <c r="X307" s="129">
        <f>VLOOKUP(C307,JNferiepenge,3,1)</f>
        <v>0</v>
      </c>
      <c r="Y307" s="129">
        <f t="shared" si="79"/>
        <v>65.337800000000001</v>
      </c>
      <c r="Z307" s="153">
        <f t="shared" si="71"/>
        <v>0</v>
      </c>
      <c r="AA307" s="248">
        <f t="shared" si="72"/>
        <v>0</v>
      </c>
      <c r="AB307" s="153">
        <f t="shared" si="80"/>
        <v>0</v>
      </c>
      <c r="AC307" s="248">
        <f t="shared" si="73"/>
        <v>0</v>
      </c>
      <c r="AD307" s="153">
        <f t="shared" si="74"/>
        <v>0</v>
      </c>
      <c r="AE307" s="248">
        <f t="shared" si="75"/>
        <v>0</v>
      </c>
      <c r="AF307" s="153">
        <f t="shared" si="81"/>
        <v>0</v>
      </c>
      <c r="AG307" s="248">
        <f t="shared" si="76"/>
        <v>0</v>
      </c>
      <c r="AH307" s="153">
        <f t="shared" si="82"/>
        <v>0</v>
      </c>
      <c r="AI307" s="153"/>
      <c r="AJ307" s="153">
        <f t="shared" si="83"/>
        <v>0</v>
      </c>
      <c r="AK307" s="153">
        <f t="shared" si="84"/>
        <v>0</v>
      </c>
      <c r="AL307" s="153"/>
      <c r="AM307" s="153"/>
      <c r="AN307" s="153"/>
      <c r="AQ307" s="153"/>
      <c r="AW307" s="129">
        <f t="shared" si="85"/>
        <v>0</v>
      </c>
    </row>
    <row r="308" spans="1:49" ht="9.75" thickBot="1" x14ac:dyDescent="0.2">
      <c r="A308" s="159"/>
      <c r="B308" s="160"/>
      <c r="C308" s="160"/>
      <c r="D308" s="154" t="str">
        <f t="shared" si="86"/>
        <v xml:space="preserve"> </v>
      </c>
      <c r="E308" s="162"/>
      <c r="F308" s="262">
        <v>0</v>
      </c>
      <c r="G308" s="162">
        <v>37</v>
      </c>
      <c r="H308" s="162">
        <v>37</v>
      </c>
      <c r="I308" s="162"/>
      <c r="J308" s="164"/>
      <c r="K308" s="162"/>
      <c r="L308" s="164"/>
      <c r="M308" s="164"/>
      <c r="N308" s="162"/>
      <c r="O308" s="162"/>
      <c r="P308" s="162"/>
      <c r="Q308" s="155">
        <f>AS308</f>
        <v>0</v>
      </c>
      <c r="R308" s="155">
        <f>AT308</f>
        <v>0</v>
      </c>
      <c r="S308" s="156">
        <f>AU308</f>
        <v>0</v>
      </c>
      <c r="U308" s="129">
        <f>IF(OR(C307=5,C308=5),0,1)</f>
        <v>1</v>
      </c>
      <c r="V308" s="129">
        <f t="shared" si="77"/>
        <v>0</v>
      </c>
      <c r="W308" s="129">
        <f t="shared" si="78"/>
        <v>0</v>
      </c>
      <c r="X308" s="129">
        <f>VLOOKUP(C308,JNferiepenge,3,1)</f>
        <v>0</v>
      </c>
      <c r="Y308" s="129">
        <f t="shared" si="79"/>
        <v>65.337800000000001</v>
      </c>
      <c r="Z308" s="153">
        <f t="shared" si="71"/>
        <v>0</v>
      </c>
      <c r="AA308" s="248">
        <f t="shared" si="72"/>
        <v>0</v>
      </c>
      <c r="AB308" s="153">
        <f t="shared" si="80"/>
        <v>0</v>
      </c>
      <c r="AC308" s="248">
        <f t="shared" si="73"/>
        <v>0</v>
      </c>
      <c r="AD308" s="153">
        <f t="shared" si="74"/>
        <v>0</v>
      </c>
      <c r="AE308" s="248">
        <f t="shared" si="75"/>
        <v>0</v>
      </c>
      <c r="AF308" s="153">
        <f t="shared" si="81"/>
        <v>0</v>
      </c>
      <c r="AG308" s="248">
        <f t="shared" si="76"/>
        <v>0</v>
      </c>
      <c r="AH308" s="153">
        <f t="shared" si="82"/>
        <v>0</v>
      </c>
      <c r="AI308" s="153"/>
      <c r="AJ308" s="153">
        <f t="shared" si="83"/>
        <v>0</v>
      </c>
      <c r="AK308" s="153">
        <f t="shared" si="84"/>
        <v>0</v>
      </c>
      <c r="AL308" s="153"/>
      <c r="AM308" s="153">
        <f>AK307*W307+AK308*W308</f>
        <v>0</v>
      </c>
      <c r="AN308" s="153">
        <f>(SUM(AD307:AG307)*W307+SUM(AD308:AG308)*W308)*12*VLOOKUP(C308,JNovergang,3,1)</f>
        <v>0</v>
      </c>
      <c r="AO308" s="153">
        <f>AM308-AN308</f>
        <v>0</v>
      </c>
      <c r="AP308" s="153">
        <f>M308*(100+X308)%</f>
        <v>0</v>
      </c>
      <c r="AQ308" s="248">
        <f>ROUND(M308*F308,2)</f>
        <v>0</v>
      </c>
      <c r="AS308" s="248">
        <f>ROUND((AP308+AQ308)+AM308*(N308/12),0)</f>
        <v>0</v>
      </c>
      <c r="AT308" s="248">
        <f>ROUND(AM308*(O308/12),0)</f>
        <v>0</v>
      </c>
      <c r="AU308" s="248">
        <f>ROUND(AM308*(P308/12)*U308,0)</f>
        <v>0</v>
      </c>
      <c r="AW308" s="129">
        <f t="shared" si="85"/>
        <v>0</v>
      </c>
    </row>
  </sheetData>
  <sheetProtection password="CF28" sheet="1"/>
  <customSheetViews>
    <customSheetView guid="{40555330-83BF-42FA-97D0-8A355A41C0A0}" hiddenColumns="1" state="hidden">
      <pane xSplit="2" ySplit="20" topLeftCell="C21" activePane="bottomRight" state="frozen"/>
      <selection pane="bottomRight" activeCell="R1" sqref="R1:S1"/>
      <pageMargins left="0.31496062992125984" right="0.31496062992125984" top="0.43307086614173229" bottom="0.39370078740157483" header="0" footer="0.19685039370078741"/>
      <pageSetup paperSize="9" orientation="landscape" blackAndWhite="1" r:id="rId1"/>
      <headerFooter alignWithMargins="0">
        <oddFooter>&amp;CSide &amp;P af  &amp;N</oddFooter>
      </headerFooter>
    </customSheetView>
  </customSheetViews>
  <mergeCells count="2">
    <mergeCell ref="R1:S1"/>
    <mergeCell ref="AS16:AU16"/>
  </mergeCells>
  <phoneticPr fontId="0" type="noConversion"/>
  <pageMargins left="0.31496062992125984" right="0.31496062992125984" top="0.43307086614173229" bottom="0.39370078740157483" header="0" footer="0.19685039370078741"/>
  <pageSetup paperSize="9" orientation="landscape" blackAndWhite="1" r:id="rId2"/>
  <headerFooter alignWithMargins="0">
    <oddFooter>&amp;CSide &amp;P af 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BA157"/>
  <sheetViews>
    <sheetView tabSelected="1" showRuler="0" topLeftCell="A2" zoomScale="120" zoomScaleNormal="120" zoomScalePageLayoutView="85" workbookViewId="0">
      <selection activeCell="A2" sqref="A2"/>
    </sheetView>
  </sheetViews>
  <sheetFormatPr defaultColWidth="9.33203125" defaultRowHeight="13.5" x14ac:dyDescent="0.25"/>
  <cols>
    <col min="1" max="1" width="2.33203125" style="277" customWidth="1"/>
    <col min="2" max="2" width="1.5" style="277" customWidth="1"/>
    <col min="3" max="7" width="4.5" style="277" customWidth="1"/>
    <col min="8" max="8" width="12.83203125" style="277" customWidth="1"/>
    <col min="9" max="9" width="10.5" style="277" customWidth="1"/>
    <col min="10" max="10" width="5.1640625" style="300" customWidth="1"/>
    <col min="11" max="11" width="1.5" style="300" customWidth="1"/>
    <col min="12" max="12" width="13" style="277" customWidth="1"/>
    <col min="13" max="13" width="13.6640625" style="277" customWidth="1"/>
    <col min="14" max="14" width="1.5" style="277" customWidth="1"/>
    <col min="15" max="15" width="3.1640625" style="277" customWidth="1"/>
    <col min="16" max="16" width="6" style="277" hidden="1" customWidth="1"/>
    <col min="17" max="17" width="1.83203125" style="277" hidden="1" customWidth="1"/>
    <col min="18" max="18" width="2.83203125" style="277" customWidth="1"/>
    <col min="19" max="19" width="3.1640625" style="277" customWidth="1"/>
    <col min="20" max="23" width="2.6640625" style="277" customWidth="1"/>
    <col min="24" max="24" width="3.5" style="277" customWidth="1"/>
    <col min="25" max="25" width="1.83203125" style="277" customWidth="1"/>
    <col min="26" max="29" width="2.6640625" style="277" customWidth="1"/>
    <col min="30" max="30" width="5.6640625" style="277" customWidth="1"/>
    <col min="31" max="31" width="1.6640625" style="277" hidden="1" customWidth="1"/>
    <col min="32" max="32" width="2" style="411" hidden="1" customWidth="1"/>
    <col min="33" max="33" width="27.33203125" style="277" hidden="1" customWidth="1"/>
    <col min="34" max="34" width="3.6640625" style="277" hidden="1" customWidth="1"/>
    <col min="35" max="35" width="9.6640625" style="277" hidden="1" customWidth="1"/>
    <col min="36" max="36" width="0.1640625" style="277" customWidth="1"/>
    <col min="37" max="38" width="9.33203125" style="277" customWidth="1"/>
    <col min="39" max="16384" width="9.33203125" style="277"/>
  </cols>
  <sheetData>
    <row r="1" spans="1:41" ht="6" hidden="1" customHeight="1" x14ac:dyDescent="0.25">
      <c r="A1" s="276"/>
      <c r="B1" s="276"/>
      <c r="L1" s="278"/>
      <c r="M1" s="646" t="s">
        <v>730</v>
      </c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I1" s="417"/>
      <c r="AJ1" s="415"/>
      <c r="AK1" s="338"/>
      <c r="AL1" s="338"/>
      <c r="AM1" s="338"/>
      <c r="AN1" s="338"/>
      <c r="AO1" s="338"/>
    </row>
    <row r="2" spans="1:41" ht="21" customHeight="1" x14ac:dyDescent="0.35">
      <c r="A2" s="308"/>
      <c r="B2" s="452" t="s">
        <v>422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G2" s="341" t="s">
        <v>438</v>
      </c>
      <c r="AI2" s="417"/>
      <c r="AJ2" s="415"/>
      <c r="AK2" s="334"/>
      <c r="AL2" s="334"/>
    </row>
    <row r="3" spans="1:41" ht="4.5" customHeight="1" x14ac:dyDescent="0.25">
      <c r="A3" s="647"/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536"/>
      <c r="O3" s="536"/>
      <c r="P3" s="536"/>
      <c r="Q3" s="536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K3" s="334"/>
      <c r="AL3" s="334"/>
    </row>
    <row r="4" spans="1:41" ht="12.75" customHeight="1" x14ac:dyDescent="0.25">
      <c r="A4" s="288"/>
      <c r="B4" s="629" t="s">
        <v>65</v>
      </c>
      <c r="C4" s="629"/>
      <c r="D4" s="629"/>
      <c r="E4" s="629"/>
      <c r="F4" s="629"/>
      <c r="G4" s="629"/>
      <c r="H4" s="289"/>
      <c r="I4" s="632"/>
      <c r="J4" s="633"/>
      <c r="K4" s="633"/>
      <c r="L4" s="633"/>
      <c r="M4" s="634"/>
      <c r="N4" s="536"/>
      <c r="O4" s="536"/>
      <c r="P4" s="536"/>
      <c r="Q4" s="536"/>
      <c r="S4" s="346"/>
      <c r="T4" s="332" t="s">
        <v>170</v>
      </c>
      <c r="U4" s="332"/>
      <c r="Y4" s="654"/>
      <c r="Z4" s="655"/>
      <c r="AA4" s="655"/>
      <c r="AB4" s="655"/>
      <c r="AC4" s="656"/>
      <c r="AD4" s="301"/>
      <c r="AG4" s="635" t="s">
        <v>439</v>
      </c>
      <c r="AH4" s="276"/>
      <c r="AI4" s="637" t="e">
        <f>+VLOOKUP(Y15,Vejledning!A:C,2,1)</f>
        <v>#N/A</v>
      </c>
      <c r="AJ4" s="637"/>
      <c r="AK4" s="334"/>
      <c r="AL4" s="334"/>
    </row>
    <row r="5" spans="1:41" ht="12.75" customHeight="1" x14ac:dyDescent="0.25">
      <c r="A5" s="288"/>
      <c r="B5" s="288" t="s">
        <v>781</v>
      </c>
      <c r="C5" s="288"/>
      <c r="D5" s="288"/>
      <c r="E5" s="288"/>
      <c r="F5" s="288"/>
      <c r="G5" s="288"/>
      <c r="H5" s="289"/>
      <c r="I5" s="632"/>
      <c r="J5" s="648"/>
      <c r="K5" s="648"/>
      <c r="L5" s="648"/>
      <c r="M5" s="649"/>
      <c r="N5" s="536"/>
      <c r="O5" s="536"/>
      <c r="P5" s="536"/>
      <c r="Q5" s="536"/>
      <c r="S5" s="346"/>
      <c r="T5" s="332"/>
      <c r="U5" s="332"/>
      <c r="Y5" s="569"/>
      <c r="Z5" s="569"/>
      <c r="AA5" s="569"/>
      <c r="AB5" s="569"/>
      <c r="AC5" s="569"/>
      <c r="AD5" s="301"/>
      <c r="AG5" s="635"/>
      <c r="AH5" s="276"/>
      <c r="AI5" s="637"/>
      <c r="AJ5" s="637"/>
      <c r="AK5" s="334"/>
      <c r="AL5" s="334"/>
    </row>
    <row r="6" spans="1:41" ht="12.75" customHeight="1" x14ac:dyDescent="0.25">
      <c r="A6" s="288"/>
      <c r="B6" s="288" t="s">
        <v>782</v>
      </c>
      <c r="C6" s="288"/>
      <c r="D6" s="288"/>
      <c r="E6" s="288"/>
      <c r="F6" s="288"/>
      <c r="G6" s="288"/>
      <c r="H6" s="289"/>
      <c r="I6" s="632"/>
      <c r="J6" s="648"/>
      <c r="K6" s="648"/>
      <c r="L6" s="648"/>
      <c r="M6" s="649"/>
      <c r="N6" s="536"/>
      <c r="O6" s="536"/>
      <c r="P6" s="536"/>
      <c r="Q6" s="536"/>
      <c r="S6" s="346"/>
      <c r="T6" s="332"/>
      <c r="U6" s="332"/>
      <c r="Y6" s="569"/>
      <c r="Z6" s="569"/>
      <c r="AA6" s="569"/>
      <c r="AB6" s="569"/>
      <c r="AC6" s="569"/>
      <c r="AD6" s="301"/>
      <c r="AG6" s="635"/>
      <c r="AH6" s="276"/>
      <c r="AI6" s="637"/>
      <c r="AJ6" s="637"/>
      <c r="AK6" s="334"/>
      <c r="AL6" s="334"/>
    </row>
    <row r="7" spans="1:41" ht="12.75" customHeight="1" x14ac:dyDescent="0.25">
      <c r="A7" s="288"/>
      <c r="B7" s="629" t="s">
        <v>783</v>
      </c>
      <c r="C7" s="629"/>
      <c r="D7" s="629"/>
      <c r="E7" s="629"/>
      <c r="F7" s="629"/>
      <c r="G7" s="629"/>
      <c r="H7" s="289"/>
      <c r="I7" s="632"/>
      <c r="J7" s="648"/>
      <c r="K7" s="648"/>
      <c r="L7" s="648"/>
      <c r="M7" s="649"/>
      <c r="N7" s="536"/>
      <c r="O7" s="536"/>
      <c r="P7" s="536"/>
      <c r="Q7" s="536"/>
      <c r="S7" s="346"/>
      <c r="Z7" s="300"/>
      <c r="AA7" s="300"/>
      <c r="AB7" s="300"/>
      <c r="AC7" s="300"/>
      <c r="AD7" s="301"/>
      <c r="AG7" s="635"/>
      <c r="AH7" s="276"/>
      <c r="AI7" s="637"/>
      <c r="AJ7" s="637"/>
      <c r="AK7" s="334"/>
      <c r="AL7" s="334"/>
    </row>
    <row r="8" spans="1:41" ht="12.75" customHeight="1" x14ac:dyDescent="0.25">
      <c r="A8" s="288"/>
      <c r="B8" s="629" t="s">
        <v>88</v>
      </c>
      <c r="C8" s="629"/>
      <c r="D8" s="629"/>
      <c r="E8" s="629"/>
      <c r="F8" s="629"/>
      <c r="G8" s="629"/>
      <c r="H8" s="289"/>
      <c r="I8" s="632"/>
      <c r="J8" s="633"/>
      <c r="K8" s="633"/>
      <c r="L8" s="633"/>
      <c r="M8" s="634"/>
      <c r="N8" s="536"/>
      <c r="O8" s="536"/>
      <c r="P8" s="536"/>
      <c r="Q8" s="536"/>
      <c r="S8" s="346"/>
      <c r="T8" s="394"/>
      <c r="V8" s="666" t="s">
        <v>695</v>
      </c>
      <c r="W8" s="666"/>
      <c r="X8" s="666"/>
      <c r="Y8" s="666"/>
      <c r="Z8" s="666"/>
      <c r="AA8" s="666"/>
      <c r="AB8" s="666"/>
      <c r="AC8" s="666"/>
      <c r="AD8" s="375"/>
      <c r="AG8" s="276"/>
      <c r="AH8" s="276"/>
      <c r="AI8" s="637"/>
      <c r="AJ8" s="637"/>
      <c r="AK8" s="334"/>
      <c r="AL8" s="334"/>
    </row>
    <row r="9" spans="1:41" ht="12.75" customHeight="1" x14ac:dyDescent="0.25">
      <c r="A9" s="288"/>
      <c r="B9" s="276" t="s">
        <v>408</v>
      </c>
      <c r="C9" s="276"/>
      <c r="D9" s="276"/>
      <c r="E9" s="276"/>
      <c r="F9" s="276"/>
      <c r="G9" s="276"/>
      <c r="H9" s="289"/>
      <c r="I9" s="295">
        <v>37</v>
      </c>
      <c r="J9" s="323"/>
      <c r="K9" s="388"/>
      <c r="L9" s="380" t="s">
        <v>791</v>
      </c>
      <c r="M9" s="552">
        <v>37</v>
      </c>
      <c r="N9" s="537"/>
      <c r="O9" s="537"/>
      <c r="P9" s="537"/>
      <c r="Q9" s="537"/>
      <c r="R9" s="324">
        <f>I9/MAX(M9,1)</f>
        <v>1</v>
      </c>
      <c r="S9" s="346"/>
      <c r="T9" s="325"/>
      <c r="U9" s="325"/>
      <c r="V9" s="650" t="s">
        <v>696</v>
      </c>
      <c r="W9" s="651"/>
      <c r="X9" s="651"/>
      <c r="Y9" s="651"/>
      <c r="Z9" s="651"/>
      <c r="AA9" s="651"/>
      <c r="AB9" s="651"/>
      <c r="AC9" s="651"/>
      <c r="AD9" s="347"/>
      <c r="AG9" s="636" t="s">
        <v>440</v>
      </c>
      <c r="AH9" s="276"/>
      <c r="AI9" s="610" t="e">
        <f>+VLOOKUP(Y15,Vejledning!A:AP,3,1)</f>
        <v>#N/A</v>
      </c>
      <c r="AJ9" s="610"/>
      <c r="AK9" s="334"/>
      <c r="AL9" s="334"/>
    </row>
    <row r="10" spans="1:41" ht="12.75" customHeight="1" x14ac:dyDescent="0.25">
      <c r="A10" s="288"/>
      <c r="B10" s="629" t="s">
        <v>764</v>
      </c>
      <c r="C10" s="629"/>
      <c r="D10" s="629"/>
      <c r="E10" s="629"/>
      <c r="F10" s="629"/>
      <c r="G10" s="629"/>
      <c r="H10" s="289"/>
      <c r="I10" s="632"/>
      <c r="J10" s="633"/>
      <c r="K10" s="633"/>
      <c r="L10" s="633"/>
      <c r="M10" s="634"/>
      <c r="N10" s="536"/>
      <c r="O10" s="536"/>
      <c r="P10" s="536"/>
      <c r="Q10" s="536"/>
      <c r="S10" s="346"/>
      <c r="T10" s="394"/>
      <c r="V10" s="666" t="s">
        <v>421</v>
      </c>
      <c r="W10" s="666"/>
      <c r="X10" s="666"/>
      <c r="Y10" s="666"/>
      <c r="Z10" s="666"/>
      <c r="AA10" s="666"/>
      <c r="AB10" s="666"/>
      <c r="AC10" s="666"/>
      <c r="AD10" s="375"/>
      <c r="AG10" s="636"/>
      <c r="AH10" s="405"/>
      <c r="AI10" s="610"/>
      <c r="AJ10" s="610"/>
      <c r="AK10" s="337"/>
      <c r="AL10" s="337"/>
    </row>
    <row r="11" spans="1:41" ht="12.75" customHeight="1" x14ac:dyDescent="0.25">
      <c r="A11" s="288"/>
      <c r="B11" s="288" t="s">
        <v>766</v>
      </c>
      <c r="C11" s="288"/>
      <c r="D11" s="288"/>
      <c r="E11" s="288"/>
      <c r="F11" s="288"/>
      <c r="G11" s="288"/>
      <c r="H11" s="511"/>
      <c r="I11" s="657"/>
      <c r="J11" s="658"/>
      <c r="K11" s="658"/>
      <c r="L11" s="659"/>
      <c r="M11" s="296"/>
      <c r="N11" s="303"/>
      <c r="O11" s="668" t="s">
        <v>767</v>
      </c>
      <c r="P11" s="303"/>
      <c r="Q11" s="303"/>
      <c r="S11" s="346"/>
      <c r="T11" s="325"/>
      <c r="U11" s="325"/>
      <c r="V11" s="377"/>
      <c r="W11" s="339"/>
      <c r="X11" s="339"/>
      <c r="Y11" s="339"/>
      <c r="Z11" s="339"/>
      <c r="AA11" s="339"/>
      <c r="AB11" s="339"/>
      <c r="AC11" s="339"/>
      <c r="AD11" s="347"/>
      <c r="AG11" s="404"/>
      <c r="AH11" s="405"/>
      <c r="AI11" s="610"/>
      <c r="AJ11" s="610"/>
      <c r="AK11" s="337"/>
      <c r="AL11" s="337"/>
    </row>
    <row r="12" spans="1:41" ht="5.25" customHeight="1" x14ac:dyDescent="0.25">
      <c r="A12" s="288"/>
      <c r="B12" s="327"/>
      <c r="C12" s="285"/>
      <c r="D12" s="285"/>
      <c r="E12" s="285"/>
      <c r="F12" s="285"/>
      <c r="G12" s="285"/>
      <c r="H12" s="285"/>
      <c r="I12" s="571">
        <f>+IF(+Y15=7101,4,+IF(+Y15=7001,3,+IF(+Y15=7021,3,+IF(+Y15=3101,1,0+IF(+Y15=7121,4)))))</f>
        <v>0</v>
      </c>
      <c r="J12" s="315"/>
      <c r="K12" s="315"/>
      <c r="L12" s="523"/>
      <c r="M12" s="290"/>
      <c r="O12" s="669"/>
      <c r="S12" s="346"/>
      <c r="V12" s="670"/>
      <c r="W12" s="670"/>
      <c r="X12" s="670"/>
      <c r="Y12" s="670"/>
      <c r="Z12" s="670"/>
      <c r="AA12" s="670"/>
      <c r="AB12" s="670"/>
      <c r="AC12" s="670"/>
      <c r="AD12" s="375"/>
      <c r="AG12" s="404"/>
      <c r="AH12" s="276"/>
      <c r="AI12" s="407" t="s">
        <v>387</v>
      </c>
      <c r="AJ12" s="406"/>
      <c r="AK12" s="337"/>
      <c r="AL12" s="337"/>
    </row>
    <row r="13" spans="1:41" ht="12.75" customHeight="1" x14ac:dyDescent="0.25">
      <c r="A13" s="288"/>
      <c r="B13" s="664" t="s">
        <v>269</v>
      </c>
      <c r="C13" s="664"/>
      <c r="D13" s="664"/>
      <c r="E13" s="664"/>
      <c r="F13" s="664"/>
      <c r="G13" s="285"/>
      <c r="H13" s="286"/>
      <c r="I13" s="295"/>
      <c r="J13" s="307" t="s">
        <v>388</v>
      </c>
      <c r="K13" s="416"/>
      <c r="L13" s="314" t="s">
        <v>722</v>
      </c>
      <c r="M13" s="315">
        <f>VLOOKUP(LønkodeNyLøn,TabelPctReg,2)</f>
        <v>65.337800000000001</v>
      </c>
      <c r="N13" s="303"/>
      <c r="O13" s="669"/>
      <c r="P13" s="303"/>
      <c r="Q13" s="303"/>
      <c r="S13" s="346"/>
      <c r="U13" s="325"/>
      <c r="V13" s="667"/>
      <c r="W13" s="667"/>
      <c r="X13" s="667"/>
      <c r="Y13" s="667"/>
      <c r="Z13" s="667"/>
      <c r="AA13" s="667"/>
      <c r="AB13" s="667"/>
      <c r="AC13" s="667"/>
      <c r="AD13" s="376"/>
      <c r="AG13" s="611" t="e">
        <f>+VLOOKUP(Y15,Vejledning!A:D,4,1)</f>
        <v>#N/A</v>
      </c>
      <c r="AH13" s="611"/>
      <c r="AI13" s="610" t="e">
        <f>+VLOOKUP(Y15,Vejledning!A:AP,5,1)</f>
        <v>#N/A</v>
      </c>
      <c r="AJ13" s="610"/>
      <c r="AK13" s="334"/>
      <c r="AL13" s="334"/>
    </row>
    <row r="14" spans="1:41" ht="9.75" customHeight="1" x14ac:dyDescent="0.25">
      <c r="B14" s="341"/>
      <c r="C14" s="341"/>
      <c r="D14" s="341"/>
      <c r="E14" s="341"/>
      <c r="F14" s="341"/>
      <c r="G14" s="341"/>
      <c r="O14" s="669"/>
      <c r="S14" s="348"/>
      <c r="T14" s="510" t="s">
        <v>762</v>
      </c>
      <c r="U14" s="333"/>
      <c r="V14" s="325"/>
      <c r="W14" s="325"/>
      <c r="X14" s="325"/>
      <c r="Y14" s="325"/>
      <c r="Z14" s="325"/>
      <c r="AA14" s="325"/>
      <c r="AB14" s="325"/>
      <c r="AC14" s="325"/>
      <c r="AD14" s="349"/>
      <c r="AG14" s="405"/>
      <c r="AH14" s="276"/>
      <c r="AI14" s="406"/>
      <c r="AK14" s="334"/>
      <c r="AL14" s="334"/>
    </row>
    <row r="15" spans="1:41" ht="14.25" customHeight="1" x14ac:dyDescent="0.25">
      <c r="A15" s="541"/>
      <c r="B15" s="660" t="s">
        <v>708</v>
      </c>
      <c r="C15" s="660"/>
      <c r="D15" s="660"/>
      <c r="E15" s="660"/>
      <c r="F15" s="660"/>
      <c r="G15" s="341"/>
      <c r="H15" s="541"/>
      <c r="I15" s="305" t="s">
        <v>161</v>
      </c>
      <c r="J15" s="305" t="s">
        <v>21</v>
      </c>
      <c r="K15" s="305"/>
      <c r="L15" s="305" t="s">
        <v>233</v>
      </c>
      <c r="M15" s="318" t="s">
        <v>234</v>
      </c>
      <c r="N15" s="318"/>
      <c r="O15" s="669"/>
      <c r="P15" s="318"/>
      <c r="Q15" s="318"/>
      <c r="R15" s="280"/>
      <c r="S15" s="348"/>
      <c r="T15" s="510"/>
      <c r="U15" s="317"/>
      <c r="V15" s="316"/>
      <c r="W15" s="316"/>
      <c r="X15" s="316"/>
      <c r="Y15" s="661"/>
      <c r="Z15" s="662"/>
      <c r="AA15" s="662"/>
      <c r="AB15" s="662"/>
      <c r="AC15" s="663"/>
      <c r="AD15" s="349"/>
      <c r="AG15" s="611" t="e">
        <f>+VLOOKUP(Y15,Vejledning!A:AP,6,1)</f>
        <v>#N/A</v>
      </c>
      <c r="AH15" s="611"/>
      <c r="AI15" s="610" t="e">
        <f>+VLOOKUP(Y15,Vejledning!A:AP,7,1)</f>
        <v>#N/A</v>
      </c>
      <c r="AJ15" s="610"/>
      <c r="AK15" s="335"/>
      <c r="AL15" s="335"/>
    </row>
    <row r="16" spans="1:41" ht="11.25" customHeight="1" x14ac:dyDescent="0.25">
      <c r="A16" s="288"/>
      <c r="B16" s="660"/>
      <c r="C16" s="660"/>
      <c r="D16" s="660"/>
      <c r="E16" s="660"/>
      <c r="F16" s="660"/>
      <c r="G16" s="538"/>
      <c r="H16" s="288"/>
      <c r="I16" s="305" t="s">
        <v>162</v>
      </c>
      <c r="J16" s="305" t="s">
        <v>122</v>
      </c>
      <c r="K16" s="305"/>
      <c r="L16" s="539">
        <f>Dato1-0</f>
        <v>46113</v>
      </c>
      <c r="M16" s="534">
        <f>Dato1-0</f>
        <v>46113</v>
      </c>
      <c r="N16" s="534"/>
      <c r="O16" s="669"/>
      <c r="P16" s="534"/>
      <c r="Q16" s="534"/>
      <c r="R16" s="280"/>
      <c r="S16" s="346"/>
      <c r="T16" s="652" t="e">
        <f>+VLOOKUP(Y15,Vejledning!1:1048576,2,1)</f>
        <v>#N/A</v>
      </c>
      <c r="U16" s="652"/>
      <c r="V16" s="652"/>
      <c r="W16" s="652"/>
      <c r="X16" s="652"/>
      <c r="Y16" s="652"/>
      <c r="Z16" s="652"/>
      <c r="AA16" s="652"/>
      <c r="AB16" s="652"/>
      <c r="AC16" s="652"/>
      <c r="AD16" s="350"/>
      <c r="AG16" s="408"/>
      <c r="AH16" s="276"/>
      <c r="AI16" s="406"/>
      <c r="AJ16" s="409"/>
      <c r="AK16" s="335"/>
      <c r="AL16" s="335"/>
    </row>
    <row r="17" spans="1:38" ht="11.25" customHeight="1" x14ac:dyDescent="0.25">
      <c r="A17" s="276"/>
      <c r="B17" s="665" t="s">
        <v>709</v>
      </c>
      <c r="C17" s="665"/>
      <c r="D17" s="665"/>
      <c r="E17" s="665"/>
      <c r="F17" s="665"/>
      <c r="G17" s="665"/>
      <c r="I17" s="539">
        <f>VLOOKUP(LønkodeNyLøn,TabelPctReg,3)</f>
        <v>36616</v>
      </c>
      <c r="J17" s="305"/>
      <c r="K17" s="305"/>
      <c r="L17" s="539" t="s">
        <v>398</v>
      </c>
      <c r="M17" s="534" t="s">
        <v>398</v>
      </c>
      <c r="N17" s="534"/>
      <c r="O17" s="669"/>
      <c r="P17" s="534"/>
      <c r="Q17" s="534"/>
      <c r="R17" s="282"/>
      <c r="S17" s="351"/>
      <c r="T17" s="652"/>
      <c r="U17" s="652"/>
      <c r="V17" s="652"/>
      <c r="W17" s="652"/>
      <c r="X17" s="652"/>
      <c r="Y17" s="652"/>
      <c r="Z17" s="652"/>
      <c r="AA17" s="652"/>
      <c r="AB17" s="652"/>
      <c r="AC17" s="652"/>
      <c r="AD17" s="356"/>
      <c r="AG17" s="611" t="e">
        <f>+VLOOKUP(Y15,Vejledning!A:AP,8,1)</f>
        <v>#N/A</v>
      </c>
      <c r="AH17" s="611"/>
      <c r="AI17" s="610" t="e">
        <f>+VLOOKUP(Y15,Vejledning!A:AP,9,1)</f>
        <v>#N/A</v>
      </c>
      <c r="AJ17" s="610"/>
      <c r="AK17" s="335"/>
      <c r="AL17" s="335"/>
    </row>
    <row r="18" spans="1:38" ht="5.25" customHeight="1" x14ac:dyDescent="0.25">
      <c r="A18" s="276"/>
      <c r="B18" s="665"/>
      <c r="C18" s="665"/>
      <c r="D18" s="665"/>
      <c r="E18" s="665"/>
      <c r="F18" s="665"/>
      <c r="G18" s="665"/>
      <c r="I18" s="535"/>
      <c r="J18" s="302"/>
      <c r="K18" s="280"/>
      <c r="L18" s="540"/>
      <c r="M18" s="540"/>
      <c r="N18" s="535"/>
      <c r="O18" s="669"/>
      <c r="P18" s="535"/>
      <c r="Q18" s="535"/>
      <c r="R18" s="282"/>
      <c r="S18" s="352"/>
      <c r="T18" s="652"/>
      <c r="U18" s="652"/>
      <c r="V18" s="652"/>
      <c r="W18" s="652"/>
      <c r="X18" s="652"/>
      <c r="Y18" s="652"/>
      <c r="Z18" s="652"/>
      <c r="AA18" s="652"/>
      <c r="AB18" s="652"/>
      <c r="AC18" s="652"/>
      <c r="AD18" s="356"/>
      <c r="AG18" s="408"/>
      <c r="AH18" s="276"/>
      <c r="AI18" s="406"/>
      <c r="AJ18" s="409"/>
      <c r="AK18" s="335"/>
      <c r="AL18" s="335"/>
    </row>
    <row r="19" spans="1:38" ht="12.75" customHeight="1" x14ac:dyDescent="0.25">
      <c r="A19" s="288"/>
      <c r="B19" s="285" t="s">
        <v>390</v>
      </c>
      <c r="C19" s="285"/>
      <c r="D19" s="285"/>
      <c r="E19" s="285"/>
      <c r="F19" s="285"/>
      <c r="G19" s="285"/>
      <c r="H19" s="285"/>
      <c r="I19" s="382"/>
      <c r="J19" s="294"/>
      <c r="K19" s="280"/>
      <c r="L19" s="283">
        <f>ROUND(VLOOKUP(J19,TabelLøn,StartkolonneNyLøn,1)*BeskGradNyLøn,2)</f>
        <v>0</v>
      </c>
      <c r="M19" s="284">
        <f>L19*12</f>
        <v>0</v>
      </c>
      <c r="N19" s="310"/>
      <c r="O19" s="669"/>
      <c r="P19" s="310"/>
      <c r="Q19" s="310"/>
      <c r="S19" s="352"/>
      <c r="T19" s="652"/>
      <c r="U19" s="652"/>
      <c r="V19" s="652"/>
      <c r="W19" s="652"/>
      <c r="X19" s="652"/>
      <c r="Y19" s="652"/>
      <c r="Z19" s="652"/>
      <c r="AA19" s="652"/>
      <c r="AB19" s="652"/>
      <c r="AC19" s="652"/>
      <c r="AD19" s="356"/>
      <c r="AG19" s="611" t="e">
        <f>+VLOOKUP(Y15,Vejledning!A:AP,10,1)</f>
        <v>#N/A</v>
      </c>
      <c r="AH19" s="611"/>
      <c r="AI19" s="610" t="e">
        <f>+VLOOKUP(Y15,Vejledning!A:AP,11,1)</f>
        <v>#N/A</v>
      </c>
      <c r="AJ19" s="610"/>
      <c r="AK19" s="335"/>
      <c r="AL19" s="335"/>
    </row>
    <row r="20" spans="1:38" ht="12.75" customHeight="1" x14ac:dyDescent="0.25">
      <c r="A20" s="288"/>
      <c r="B20" s="285"/>
      <c r="C20" s="290" t="s">
        <v>389</v>
      </c>
      <c r="D20" s="285"/>
      <c r="E20" s="285"/>
      <c r="F20" s="285"/>
      <c r="G20" s="285"/>
      <c r="H20" s="286"/>
      <c r="I20" s="287"/>
      <c r="J20" s="391" t="s">
        <v>7</v>
      </c>
      <c r="K20" s="280"/>
      <c r="L20" s="283">
        <f>ROUND(I20/12*BeskGradNyLøn*(1+PctRegNyLøn%),2)</f>
        <v>0</v>
      </c>
      <c r="M20" s="284">
        <f>L20*12</f>
        <v>0</v>
      </c>
      <c r="N20" s="310"/>
      <c r="O20" s="669"/>
      <c r="P20" s="310"/>
      <c r="Q20" s="310"/>
      <c r="S20" s="3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354"/>
      <c r="AG20" s="404"/>
      <c r="AH20" s="276"/>
      <c r="AI20" s="406"/>
      <c r="AK20" s="334"/>
      <c r="AL20" s="334"/>
    </row>
    <row r="21" spans="1:38" ht="7.5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98"/>
      <c r="J21" s="280"/>
      <c r="K21" s="280"/>
      <c r="L21" s="298"/>
      <c r="M21" s="298"/>
      <c r="N21" s="288"/>
      <c r="O21" s="669"/>
      <c r="P21" s="288"/>
      <c r="Q21" s="288"/>
      <c r="R21" s="645" t="s">
        <v>423</v>
      </c>
      <c r="S21" s="645"/>
      <c r="T21" s="645"/>
      <c r="U21" s="645"/>
      <c r="V21" s="645"/>
      <c r="W21" s="645"/>
      <c r="X21" s="645"/>
      <c r="Y21" s="645"/>
      <c r="Z21" s="645"/>
      <c r="AA21" s="645"/>
      <c r="AB21" s="645"/>
      <c r="AC21" s="645"/>
      <c r="AD21" s="645"/>
      <c r="AE21" s="645"/>
      <c r="AG21" s="611" t="e">
        <f>+VLOOKUP(Y15,Vejledning!A:AP,12,1)</f>
        <v>#N/A</v>
      </c>
      <c r="AH21" s="611"/>
      <c r="AI21" s="610" t="e">
        <f>+VLOOKUP(Y15,Vejledning!A:AP,13,1)</f>
        <v>#N/A</v>
      </c>
      <c r="AJ21" s="610"/>
      <c r="AK21" s="334"/>
      <c r="AL21" s="334"/>
    </row>
    <row r="22" spans="1:38" ht="10.5" customHeight="1" x14ac:dyDescent="0.25">
      <c r="A22" s="288"/>
      <c r="B22" s="297" t="s">
        <v>789</v>
      </c>
      <c r="C22" s="297"/>
      <c r="D22" s="297"/>
      <c r="E22" s="276"/>
      <c r="F22" s="276"/>
      <c r="G22" s="276"/>
      <c r="H22" s="276"/>
      <c r="I22" s="276"/>
      <c r="J22" s="280"/>
      <c r="K22" s="280"/>
      <c r="L22" s="276"/>
      <c r="M22" s="276"/>
      <c r="N22" s="276"/>
      <c r="O22" s="669"/>
      <c r="P22" s="276"/>
      <c r="Q22" s="276"/>
      <c r="R22" s="645"/>
      <c r="S22" s="645"/>
      <c r="T22" s="645"/>
      <c r="U22" s="645"/>
      <c r="V22" s="645"/>
      <c r="W22" s="645"/>
      <c r="X22" s="645"/>
      <c r="Y22" s="645"/>
      <c r="Z22" s="645"/>
      <c r="AA22" s="645"/>
      <c r="AB22" s="645"/>
      <c r="AC22" s="645"/>
      <c r="AD22" s="645"/>
      <c r="AE22" s="645"/>
      <c r="AG22" s="611"/>
      <c r="AH22" s="611"/>
      <c r="AI22" s="610"/>
      <c r="AJ22" s="610"/>
      <c r="AK22" s="334"/>
      <c r="AL22" s="334"/>
    </row>
    <row r="23" spans="1:38" ht="7.5" customHeight="1" x14ac:dyDescent="0.25">
      <c r="A23" s="288"/>
      <c r="B23" s="276"/>
      <c r="C23" s="299" t="s">
        <v>387</v>
      </c>
      <c r="K23" s="280"/>
      <c r="O23" s="669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G23" s="276"/>
      <c r="AH23" s="276"/>
      <c r="AI23" s="409"/>
      <c r="AK23" s="334"/>
      <c r="AL23" s="334"/>
    </row>
    <row r="24" spans="1:38" ht="12.75" customHeight="1" x14ac:dyDescent="0.25">
      <c r="A24" s="288"/>
      <c r="B24" s="276"/>
      <c r="C24" s="277" t="s">
        <v>394</v>
      </c>
      <c r="D24" s="276"/>
      <c r="E24" s="276"/>
      <c r="F24" s="276"/>
      <c r="G24" s="276"/>
      <c r="H24" s="276"/>
      <c r="I24" s="382"/>
      <c r="J24" s="294"/>
      <c r="K24" s="280"/>
      <c r="L24" s="283">
        <f>ROUND((VLOOKUP($J$19+J24,TabelLøn,StartkolonneNyLøn,1)-VLOOKUP($J$19,TabelLøn,StartkolonneNyLøn,1))*BeskGradNyLøn,2)</f>
        <v>0</v>
      </c>
      <c r="M24" s="284">
        <f>L24*12</f>
        <v>0</v>
      </c>
      <c r="N24" s="671" t="s">
        <v>768</v>
      </c>
      <c r="O24" s="672"/>
      <c r="P24" s="672"/>
      <c r="Q24" s="672"/>
      <c r="R24" s="673"/>
      <c r="S24" s="632"/>
      <c r="T24" s="633"/>
      <c r="U24" s="633"/>
      <c r="V24" s="633"/>
      <c r="W24" s="633"/>
      <c r="X24" s="633"/>
      <c r="Y24" s="633"/>
      <c r="Z24" s="633"/>
      <c r="AA24" s="633"/>
      <c r="AB24" s="633"/>
      <c r="AC24" s="633"/>
      <c r="AD24" s="634"/>
      <c r="AG24" s="611" t="e">
        <f>+VLOOKUP(Y15,Vejledning!A:AP,14,1)</f>
        <v>#N/A</v>
      </c>
      <c r="AH24" s="611"/>
      <c r="AI24" s="610" t="e">
        <f>+VLOOKUP(Y15,Vejledning!A:AP,15,1)</f>
        <v>#N/A</v>
      </c>
      <c r="AJ24" s="610"/>
      <c r="AK24" s="334"/>
      <c r="AL24" s="334"/>
    </row>
    <row r="25" spans="1:38" ht="12.75" customHeight="1" x14ac:dyDescent="0.25">
      <c r="A25" s="288"/>
      <c r="B25" s="276"/>
      <c r="C25" s="277" t="s">
        <v>477</v>
      </c>
      <c r="D25" s="276"/>
      <c r="E25" s="276"/>
      <c r="F25" s="276"/>
      <c r="G25" s="276"/>
      <c r="H25" s="289"/>
      <c r="I25" s="287"/>
      <c r="J25" s="386"/>
      <c r="K25" s="280"/>
      <c r="L25" s="283">
        <f>IF(P25=1,ROUND(I25/12*BeskGradNyLøn*(1+PctRegNyLøn%),2),(ROUND((1+PctRegNyLøn%)*I25/12,2)))</f>
        <v>0</v>
      </c>
      <c r="M25" s="284">
        <f>L25*12</f>
        <v>0</v>
      </c>
      <c r="N25" s="293"/>
      <c r="O25" s="532"/>
      <c r="P25" s="528">
        <f t="shared" ref="P25" si="0">IF(O25="x",0,1)</f>
        <v>1</v>
      </c>
      <c r="Q25" s="293"/>
      <c r="S25" s="632"/>
      <c r="T25" s="633"/>
      <c r="U25" s="633"/>
      <c r="V25" s="633"/>
      <c r="W25" s="633"/>
      <c r="X25" s="633"/>
      <c r="Y25" s="633"/>
      <c r="Z25" s="633"/>
      <c r="AA25" s="633"/>
      <c r="AB25" s="633"/>
      <c r="AC25" s="633"/>
      <c r="AD25" s="634"/>
      <c r="AG25" s="611"/>
      <c r="AH25" s="611"/>
      <c r="AI25" s="610"/>
      <c r="AJ25" s="610"/>
      <c r="AK25" s="334"/>
      <c r="AL25" s="334"/>
    </row>
    <row r="26" spans="1:38" ht="12.75" customHeight="1" x14ac:dyDescent="0.25">
      <c r="A26" s="288"/>
      <c r="B26" s="276"/>
      <c r="C26" s="299" t="s">
        <v>387</v>
      </c>
      <c r="K26" s="280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G26" s="611" t="e">
        <f>+VLOOKUP(Y15,Vejledning!A:AP,16,1)</f>
        <v>#N/A</v>
      </c>
      <c r="AH26" s="611"/>
      <c r="AI26" s="610" t="e">
        <f>+VLOOKUP(Y15,Vejledning!A:AP,17,1)</f>
        <v>#N/A</v>
      </c>
      <c r="AJ26" s="610"/>
      <c r="AK26" s="334"/>
      <c r="AL26" s="334"/>
    </row>
    <row r="27" spans="1:38" ht="12.75" customHeight="1" x14ac:dyDescent="0.25">
      <c r="A27" s="288"/>
      <c r="B27" s="276"/>
      <c r="C27" s="277" t="s">
        <v>392</v>
      </c>
      <c r="D27" s="276"/>
      <c r="E27" s="276"/>
      <c r="F27" s="276"/>
      <c r="G27" s="276"/>
      <c r="H27" s="276"/>
      <c r="I27" s="383"/>
      <c r="J27" s="294"/>
      <c r="K27" s="280"/>
      <c r="L27" s="283">
        <f>ROUND((VLOOKUP($J$19+J24+J27,TabelLøn,StartkolonneNyLøn,1)-VLOOKUP($J$19+J24,TabelLøn,StartkolonneNyLøn,1))*BeskGradNyLøn,2)</f>
        <v>0</v>
      </c>
      <c r="M27" s="284">
        <f t="shared" ref="M27:M34" si="1">L27*12</f>
        <v>0</v>
      </c>
      <c r="N27" s="293"/>
      <c r="O27" s="293"/>
      <c r="P27" s="293"/>
      <c r="Q27" s="293"/>
      <c r="S27" s="632" t="s">
        <v>7</v>
      </c>
      <c r="T27" s="633"/>
      <c r="U27" s="633"/>
      <c r="V27" s="633"/>
      <c r="W27" s="633"/>
      <c r="X27" s="633"/>
      <c r="Y27" s="633"/>
      <c r="Z27" s="633"/>
      <c r="AA27" s="633"/>
      <c r="AB27" s="633"/>
      <c r="AC27" s="633"/>
      <c r="AD27" s="634"/>
      <c r="AG27" s="611"/>
      <c r="AH27" s="611"/>
      <c r="AI27" s="610"/>
      <c r="AJ27" s="610"/>
      <c r="AK27" s="334"/>
      <c r="AL27" s="334"/>
    </row>
    <row r="28" spans="1:38" ht="12.75" customHeight="1" x14ac:dyDescent="0.25">
      <c r="A28" s="288"/>
      <c r="B28" s="276"/>
      <c r="C28" s="277" t="s">
        <v>392</v>
      </c>
      <c r="D28" s="276"/>
      <c r="E28" s="276"/>
      <c r="F28" s="276"/>
      <c r="G28" s="276"/>
      <c r="H28" s="276"/>
      <c r="I28" s="383"/>
      <c r="J28" s="294"/>
      <c r="K28" s="280"/>
      <c r="L28" s="283">
        <f>ROUND((VLOOKUP($J$19+J24+J27+J28,TabelLøn,StartkolonneNyLøn,1)-VLOOKUP($J$19+J24+J27,TabelLøn,StartkolonneNyLøn,1))*BeskGradNyLøn,2)</f>
        <v>0</v>
      </c>
      <c r="M28" s="284">
        <f t="shared" si="1"/>
        <v>0</v>
      </c>
      <c r="N28" s="293"/>
      <c r="O28" s="293"/>
      <c r="P28" s="293"/>
      <c r="Q28" s="293"/>
      <c r="S28" s="632"/>
      <c r="T28" s="633"/>
      <c r="U28" s="633"/>
      <c r="V28" s="633"/>
      <c r="W28" s="633"/>
      <c r="X28" s="633"/>
      <c r="Y28" s="633"/>
      <c r="Z28" s="633"/>
      <c r="AA28" s="633"/>
      <c r="AB28" s="633"/>
      <c r="AC28" s="633"/>
      <c r="AD28" s="634"/>
      <c r="AG28" s="611" t="e">
        <f>+VLOOKUP(Y15,Vejledning!A:AP,18,1)</f>
        <v>#N/A</v>
      </c>
      <c r="AH28" s="611"/>
      <c r="AI28" s="610" t="e">
        <f>+VLOOKUP(Y15,Vejledning!A:AP,19,1)</f>
        <v>#N/A</v>
      </c>
      <c r="AJ28" s="610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ROUND((VLOOKUP($J$19+J24+J27+J28+J29,TabelLøn,StartkolonneNyLøn,1)-VLOOKUP($J$19+J24+J27+J28,TabelLøn,StartkolonneNyLøn,1))*BeskGradNyLøn,2)</f>
        <v>0</v>
      </c>
      <c r="M29" s="284">
        <f t="shared" si="1"/>
        <v>0</v>
      </c>
      <c r="N29" s="293"/>
      <c r="O29" s="293"/>
      <c r="P29" s="293"/>
      <c r="Q29" s="293"/>
      <c r="S29" s="632"/>
      <c r="T29" s="633"/>
      <c r="U29" s="633"/>
      <c r="V29" s="633"/>
      <c r="W29" s="633"/>
      <c r="X29" s="633"/>
      <c r="Y29" s="633"/>
      <c r="Z29" s="633"/>
      <c r="AA29" s="633"/>
      <c r="AB29" s="633"/>
      <c r="AC29" s="633"/>
      <c r="AD29" s="634"/>
      <c r="AG29" s="611"/>
      <c r="AH29" s="611"/>
      <c r="AI29" s="610"/>
      <c r="AJ29" s="610"/>
      <c r="AK29" s="334"/>
      <c r="AL29" s="334"/>
    </row>
    <row r="30" spans="1:38" ht="12.75" hidden="1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2"/>
      <c r="J30" s="294"/>
      <c r="K30" s="280"/>
      <c r="L30" s="283">
        <f>ROUND((VLOOKUP($J$19+J24+J27+J28+J29+J30,TabelLøn,StartkolonneNyLøn,1)-VLOOKUP($J$19+J24+J27+J28+J29,TabelLøn,StartkolonneNyLøn,1))*BeskGradNyLøn,2)</f>
        <v>0</v>
      </c>
      <c r="M30" s="284">
        <f t="shared" si="1"/>
        <v>0</v>
      </c>
      <c r="N30" s="293"/>
      <c r="O30" s="293"/>
      <c r="P30" s="293"/>
      <c r="Q30" s="293"/>
      <c r="S30" s="632"/>
      <c r="T30" s="633"/>
      <c r="U30" s="633"/>
      <c r="V30" s="633"/>
      <c r="W30" s="633"/>
      <c r="X30" s="633"/>
      <c r="Y30" s="633"/>
      <c r="Z30" s="633"/>
      <c r="AA30" s="633"/>
      <c r="AB30" s="633"/>
      <c r="AC30" s="633"/>
      <c r="AD30" s="634"/>
      <c r="AG30" s="611" t="e">
        <f>+VLOOKUP(Y15,Vejledning!A:AP,20,1)</f>
        <v>#N/A</v>
      </c>
      <c r="AH30" s="611"/>
      <c r="AI30" s="610" t="e">
        <f>+VLOOKUP(Y15,Vejledning!A:AP,21,1)</f>
        <v>#N/A</v>
      </c>
      <c r="AJ30" s="610"/>
      <c r="AK30" s="334"/>
      <c r="AL30" s="334"/>
    </row>
    <row r="31" spans="1:38" ht="12.75" hidden="1" customHeight="1" x14ac:dyDescent="0.25">
      <c r="A31" s="288"/>
      <c r="B31" s="276"/>
      <c r="C31" s="277" t="s">
        <v>478</v>
      </c>
      <c r="D31" s="276"/>
      <c r="E31" s="276"/>
      <c r="F31" s="276"/>
      <c r="G31" s="276"/>
      <c r="H31" s="289"/>
      <c r="I31" s="287"/>
      <c r="J31" s="384"/>
      <c r="K31" s="280"/>
      <c r="L31" s="283">
        <f>IF(P31=1,ROUND(I31/12*BeskGradNyLøn*(1+PctRegNyLøn%),2),(ROUND((1+PctRegNyLøn%)*I31/12,2)))</f>
        <v>0</v>
      </c>
      <c r="M31" s="284">
        <f t="shared" si="1"/>
        <v>0</v>
      </c>
      <c r="N31" s="293"/>
      <c r="O31" s="532"/>
      <c r="P31" s="528">
        <f t="shared" ref="P31" si="2">IF(O31="x",0,1)</f>
        <v>1</v>
      </c>
      <c r="Q31" s="293"/>
      <c r="S31" s="632"/>
      <c r="T31" s="633"/>
      <c r="U31" s="633"/>
      <c r="V31" s="633"/>
      <c r="W31" s="633"/>
      <c r="X31" s="633"/>
      <c r="Y31" s="633"/>
      <c r="Z31" s="633"/>
      <c r="AA31" s="633"/>
      <c r="AB31" s="633"/>
      <c r="AC31" s="633"/>
      <c r="AD31" s="634"/>
      <c r="AG31" s="611"/>
      <c r="AH31" s="611"/>
      <c r="AI31" s="610"/>
      <c r="AJ31" s="610"/>
      <c r="AK31" s="334"/>
      <c r="AL31" s="334"/>
    </row>
    <row r="32" spans="1:38" ht="12.75" customHeight="1" x14ac:dyDescent="0.25">
      <c r="A32" s="288"/>
      <c r="B32" s="276"/>
      <c r="C32" s="277" t="s">
        <v>478</v>
      </c>
      <c r="D32" s="276"/>
      <c r="E32" s="276"/>
      <c r="F32" s="276"/>
      <c r="G32" s="276"/>
      <c r="H32" s="289"/>
      <c r="I32" s="287"/>
      <c r="J32" s="385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4" si="3">IF(O32="x",0,1)</f>
        <v>1</v>
      </c>
      <c r="Q32" s="293"/>
      <c r="S32" s="632"/>
      <c r="T32" s="633"/>
      <c r="U32" s="633"/>
      <c r="V32" s="633"/>
      <c r="W32" s="633"/>
      <c r="X32" s="633"/>
      <c r="Y32" s="633"/>
      <c r="Z32" s="633"/>
      <c r="AA32" s="633"/>
      <c r="AB32" s="633"/>
      <c r="AC32" s="633"/>
      <c r="AD32" s="634"/>
      <c r="AG32" s="611" t="e">
        <f>+VLOOKUP(Y15,Vejledning!A:AP,22,1)</f>
        <v>#N/A</v>
      </c>
      <c r="AH32" s="611"/>
      <c r="AI32" s="610" t="e">
        <f>+VLOOKUP(Y15,Vejledning!A:AP,23,1)</f>
        <v>#N/A</v>
      </c>
      <c r="AJ32" s="610"/>
      <c r="AK32" s="334"/>
      <c r="AL32" s="334"/>
    </row>
    <row r="33" spans="1:38" ht="12.75" customHeight="1" x14ac:dyDescent="0.25">
      <c r="A33" s="288"/>
      <c r="B33" s="276"/>
      <c r="C33" s="277" t="s">
        <v>478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/>
      <c r="P33" s="528">
        <f t="shared" si="3"/>
        <v>1</v>
      </c>
      <c r="Q33" s="293"/>
      <c r="S33" s="632"/>
      <c r="T33" s="633"/>
      <c r="U33" s="633"/>
      <c r="V33" s="633"/>
      <c r="W33" s="633"/>
      <c r="X33" s="633"/>
      <c r="Y33" s="633"/>
      <c r="Z33" s="633"/>
      <c r="AA33" s="633"/>
      <c r="AB33" s="633"/>
      <c r="AC33" s="633"/>
      <c r="AD33" s="634"/>
      <c r="AG33" s="611"/>
      <c r="AH33" s="611"/>
      <c r="AI33" s="610"/>
      <c r="AJ33" s="610"/>
      <c r="AK33" s="334"/>
      <c r="AL33" s="334"/>
    </row>
    <row r="34" spans="1:38" ht="12.75" customHeight="1" x14ac:dyDescent="0.25">
      <c r="A34" s="288"/>
      <c r="B34" s="276"/>
      <c r="C34" s="277" t="s">
        <v>478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/>
      <c r="P34" s="528">
        <f t="shared" si="3"/>
        <v>1</v>
      </c>
      <c r="Q34" s="293"/>
      <c r="S34" s="632"/>
      <c r="T34" s="633"/>
      <c r="U34" s="633"/>
      <c r="V34" s="633"/>
      <c r="W34" s="633"/>
      <c r="X34" s="633"/>
      <c r="Y34" s="633"/>
      <c r="Z34" s="633"/>
      <c r="AA34" s="633"/>
      <c r="AB34" s="633"/>
      <c r="AC34" s="633"/>
      <c r="AD34" s="634"/>
      <c r="AG34" s="611" t="e">
        <f>+VLOOKUP(Y15,Vejledning!A:AP,24,1)</f>
        <v>#N/A</v>
      </c>
      <c r="AH34" s="611"/>
      <c r="AI34" s="610" t="e">
        <f>+VLOOKUP(Y15,Vejledning!A:AP,25,1)</f>
        <v>#N/A</v>
      </c>
      <c r="AJ34" s="610"/>
      <c r="AK34" s="334"/>
      <c r="AL34" s="334"/>
    </row>
    <row r="35" spans="1:38" ht="12.75" customHeight="1" x14ac:dyDescent="0.25">
      <c r="A35" s="288"/>
      <c r="B35" s="276"/>
      <c r="K35" s="280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G35" s="276"/>
      <c r="AH35" s="276"/>
      <c r="AI35" s="406"/>
      <c r="AK35" s="334"/>
      <c r="AL35" s="334"/>
    </row>
    <row r="36" spans="1:38" ht="12.75" customHeight="1" x14ac:dyDescent="0.25">
      <c r="A36" s="288"/>
      <c r="B36" s="276"/>
      <c r="C36" s="277" t="s">
        <v>479</v>
      </c>
      <c r="D36" s="276"/>
      <c r="E36" s="276"/>
      <c r="F36" s="276"/>
      <c r="G36" s="276"/>
      <c r="H36" s="289"/>
      <c r="I36" s="287"/>
      <c r="J36" s="385"/>
      <c r="K36" s="280"/>
      <c r="L36" s="283">
        <f>IF(P36=1,ROUND(I36/12*BeskGradNyLøn*(1+PctRegNyLøn%),2),(ROUND((1+PctRegNyLøn%)*I36/12,2)))</f>
        <v>0</v>
      </c>
      <c r="M36" s="284">
        <f>L36*12</f>
        <v>0</v>
      </c>
      <c r="N36" s="293"/>
      <c r="O36" s="532"/>
      <c r="P36" s="528">
        <f t="shared" ref="P36" si="4">IF(O36="x",0,1)</f>
        <v>1</v>
      </c>
      <c r="Q36" s="293"/>
      <c r="S36" s="632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4"/>
      <c r="AG36" s="611" t="e">
        <f>+VLOOKUP(Y15,Vejledning!A:AP,26,1)</f>
        <v>#N/A</v>
      </c>
      <c r="AH36" s="611"/>
      <c r="AI36" s="610" t="e">
        <f>+VLOOKUP(Y15,Vejledning!A:AP,27,1)</f>
        <v>#N/A</v>
      </c>
      <c r="AJ36" s="610"/>
      <c r="AK36" s="334"/>
      <c r="AL36" s="334"/>
    </row>
    <row r="37" spans="1:38" ht="12.75" customHeight="1" x14ac:dyDescent="0.25">
      <c r="A37" s="288"/>
      <c r="B37" s="276"/>
      <c r="C37" s="277" t="s">
        <v>480</v>
      </c>
      <c r="D37" s="276"/>
      <c r="E37" s="276"/>
      <c r="F37" s="276"/>
      <c r="G37" s="276"/>
      <c r="H37" s="289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 t="shared" ref="P37" si="5">IF(O37="x",0,1)</f>
        <v>1</v>
      </c>
      <c r="Q37" s="293"/>
      <c r="S37" s="632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4"/>
      <c r="AG37" s="276"/>
      <c r="AH37" s="276"/>
      <c r="AI37" s="406"/>
      <c r="AK37" s="334"/>
      <c r="AL37" s="334"/>
    </row>
    <row r="38" spans="1:38" ht="6" customHeight="1" x14ac:dyDescent="0.25">
      <c r="A38" s="288"/>
      <c r="B38" s="276"/>
      <c r="C38" s="299" t="s">
        <v>387</v>
      </c>
      <c r="K38" s="280"/>
      <c r="M38" s="686" t="s">
        <v>761</v>
      </c>
      <c r="N38" s="686"/>
      <c r="O38" s="686"/>
      <c r="P38" s="686"/>
      <c r="Q38" s="686"/>
      <c r="R38" s="686"/>
      <c r="S38" s="686"/>
      <c r="T38" s="686"/>
      <c r="U38" s="686"/>
      <c r="V38" s="686"/>
      <c r="W38" s="686"/>
      <c r="X38" s="686"/>
      <c r="Y38" s="686"/>
      <c r="Z38" s="686"/>
      <c r="AA38" s="686"/>
      <c r="AB38" s="686"/>
      <c r="AC38" s="686"/>
      <c r="AD38" s="686"/>
      <c r="AE38" s="508"/>
      <c r="AG38" s="276"/>
      <c r="AH38" s="276"/>
      <c r="AI38" s="610"/>
      <c r="AJ38" s="610"/>
      <c r="AK38" s="334"/>
      <c r="AL38" s="334"/>
    </row>
    <row r="39" spans="1:38" ht="12.75" customHeight="1" x14ac:dyDescent="0.25">
      <c r="A39" s="288"/>
      <c r="B39" s="297" t="s">
        <v>145</v>
      </c>
      <c r="C39" s="276"/>
      <c r="D39" s="276"/>
      <c r="E39" s="276"/>
      <c r="F39" s="276"/>
      <c r="G39" s="276"/>
      <c r="H39" s="276"/>
      <c r="I39" s="276"/>
      <c r="J39" s="280"/>
      <c r="K39" s="280"/>
      <c r="L39" s="276"/>
      <c r="M39" s="686"/>
      <c r="N39" s="686"/>
      <c r="O39" s="686"/>
      <c r="P39" s="686"/>
      <c r="Q39" s="686"/>
      <c r="R39" s="686"/>
      <c r="S39" s="686"/>
      <c r="T39" s="686"/>
      <c r="U39" s="686"/>
      <c r="V39" s="686"/>
      <c r="W39" s="686"/>
      <c r="X39" s="686"/>
      <c r="Y39" s="686"/>
      <c r="Z39" s="686"/>
      <c r="AA39" s="686"/>
      <c r="AB39" s="686"/>
      <c r="AC39" s="686"/>
      <c r="AD39" s="686"/>
      <c r="AE39" s="508"/>
      <c r="AG39" s="611" t="e">
        <f>+VLOOKUP(Y15,Vejledning!A:AP,28,1)</f>
        <v>#N/A</v>
      </c>
      <c r="AH39" s="611"/>
      <c r="AI39" s="610" t="e">
        <f>+VLOOKUP(Y15,Vejledning!A:AP,29,1)</f>
        <v>#N/A</v>
      </c>
      <c r="AJ39" s="610"/>
      <c r="AK39" s="334"/>
      <c r="AL39" s="334"/>
    </row>
    <row r="40" spans="1:38" ht="3" customHeight="1" x14ac:dyDescent="0.25">
      <c r="A40" s="288"/>
      <c r="B40" s="276"/>
      <c r="C40" s="299" t="s">
        <v>387</v>
      </c>
      <c r="K40" s="280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G40" s="276"/>
      <c r="AH40" s="276"/>
      <c r="AI40" s="406"/>
      <c r="AK40" s="334"/>
      <c r="AL40" s="334"/>
    </row>
    <row r="41" spans="1:38" ht="12.75" customHeight="1" x14ac:dyDescent="0.25">
      <c r="A41" s="288"/>
      <c r="B41" s="276"/>
      <c r="C41" s="277" t="s">
        <v>396</v>
      </c>
      <c r="D41" s="276"/>
      <c r="E41" s="276"/>
      <c r="F41" s="276"/>
      <c r="G41" s="276"/>
      <c r="H41" s="276"/>
      <c r="I41" s="383"/>
      <c r="J41" s="294"/>
      <c r="K41" s="280"/>
      <c r="L41" s="283">
        <f>ROUND((VLOOKUP($J$19+J24+J27+J28+J29+J30+J41,TabelLøn,StartkolonneNyLøn,1)-VLOOKUP($J$19+J24+J27+J28+J29+J30,TabelLøn,StartkolonneNyLøn,1))*BeskGradNyLøn,2)</f>
        <v>0</v>
      </c>
      <c r="M41" s="284">
        <f>L41*12</f>
        <v>0</v>
      </c>
      <c r="N41" s="293"/>
      <c r="O41" s="293"/>
      <c r="P41" s="293"/>
      <c r="Q41" s="293"/>
      <c r="S41" s="632"/>
      <c r="T41" s="633"/>
      <c r="U41" s="633"/>
      <c r="V41" s="633"/>
      <c r="W41" s="633"/>
      <c r="X41" s="633"/>
      <c r="Y41" s="633"/>
      <c r="Z41" s="633"/>
      <c r="AA41" s="633"/>
      <c r="AB41" s="633"/>
      <c r="AC41" s="633"/>
      <c r="AD41" s="634"/>
      <c r="AG41" s="611" t="e">
        <f>+VLOOKUP(Y15,Vejledning!A:AP,30,1)</f>
        <v>#N/A</v>
      </c>
      <c r="AH41" s="611"/>
      <c r="AI41" s="610" t="e">
        <f>+VLOOKUP(Y15,Vejledning!A:AP,31,1)</f>
        <v>#N/A</v>
      </c>
      <c r="AJ41" s="610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ROUND((VLOOKUP($J$19+J24+J27+J28+J29+J30+J41+J42,TabelLøn,StartkolonneNyLøn,1)-VLOOKUP($J$19+J24+J27+J28+J29+J30+J41,TabelLøn,StartkolonneNyLøn,1))*BeskGradNyLøn,2)</f>
        <v>0</v>
      </c>
      <c r="M42" s="284">
        <f>L42*12</f>
        <v>0</v>
      </c>
      <c r="N42" s="293"/>
      <c r="O42" s="293"/>
      <c r="P42" s="293"/>
      <c r="Q42" s="293"/>
      <c r="S42" s="632"/>
      <c r="T42" s="633"/>
      <c r="U42" s="633"/>
      <c r="V42" s="633"/>
      <c r="W42" s="633"/>
      <c r="X42" s="633"/>
      <c r="Y42" s="633"/>
      <c r="Z42" s="633"/>
      <c r="AA42" s="633"/>
      <c r="AB42" s="633"/>
      <c r="AC42" s="633"/>
      <c r="AD42" s="634"/>
      <c r="AG42" s="276"/>
      <c r="AH42" s="276"/>
      <c r="AI42" s="406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ROUND((VLOOKUP($J$19+J24+J27+J28+J29+J30+J41+J42+J43,TabelLøn,StartkolonneNyLøn,1)-VLOOKUP($J$19+J24+J27+J28+J29+J30+J41+J42,TabelLøn,StartkolonneNyLøn,1))*BeskGradNyLøn,2)</f>
        <v>0</v>
      </c>
      <c r="M43" s="284">
        <f t="shared" ref="M43:M60" si="6">L43*12</f>
        <v>0</v>
      </c>
      <c r="N43" s="293"/>
      <c r="O43" s="293"/>
      <c r="P43" s="293"/>
      <c r="Q43" s="293"/>
      <c r="S43" s="632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4"/>
      <c r="AG43" s="611" t="e">
        <f>+VLOOKUP(Y15,Vejledning!A:AP,32,1)</f>
        <v>#N/A</v>
      </c>
      <c r="AH43" s="611"/>
      <c r="AI43" s="610" t="e">
        <f>+VLOOKUP(Y15,Vejledning!A:AP,33,1)</f>
        <v>#N/A</v>
      </c>
      <c r="AJ43" s="610"/>
      <c r="AK43" s="334"/>
      <c r="AL43" s="334"/>
    </row>
    <row r="44" spans="1:38" ht="12.75" customHeight="1" x14ac:dyDescent="0.25"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6"/>
        <v>0</v>
      </c>
      <c r="N44" s="293"/>
      <c r="O44" s="532"/>
      <c r="P44" s="528">
        <f t="shared" ref="P44:P46" si="7">IF(O44="x",0,1)</f>
        <v>1</v>
      </c>
      <c r="Q44" s="293"/>
      <c r="S44" s="632"/>
      <c r="T44" s="633"/>
      <c r="U44" s="633"/>
      <c r="V44" s="633"/>
      <c r="W44" s="633"/>
      <c r="X44" s="633"/>
      <c r="Y44" s="633"/>
      <c r="Z44" s="633"/>
      <c r="AA44" s="633"/>
      <c r="AB44" s="633"/>
      <c r="AC44" s="633"/>
      <c r="AD44" s="634"/>
      <c r="AG44" s="276"/>
      <c r="AH44" s="276"/>
      <c r="AI44" s="406"/>
      <c r="AK44" s="334"/>
      <c r="AL44" s="334"/>
    </row>
    <row r="45" spans="1:38" ht="12.75" customHeight="1" x14ac:dyDescent="0.25"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>L45*12</f>
        <v>0</v>
      </c>
      <c r="N45" s="293"/>
      <c r="O45" s="532"/>
      <c r="P45" s="528">
        <f t="shared" si="7"/>
        <v>1</v>
      </c>
      <c r="Q45" s="293"/>
      <c r="S45" s="632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4"/>
      <c r="AG45" s="611" t="e">
        <f>+VLOOKUP(Y15,Vejledning!A:AP,34,1)</f>
        <v>#N/A</v>
      </c>
      <c r="AH45" s="611"/>
      <c r="AI45" s="610" t="e">
        <f>+VLOOKUP(Y15,Vejledning!A:AP,35,1)</f>
        <v>#N/A</v>
      </c>
      <c r="AJ45" s="610"/>
      <c r="AK45" s="334"/>
      <c r="AL45" s="334"/>
    </row>
    <row r="46" spans="1:38" ht="12.75" customHeight="1" x14ac:dyDescent="0.25">
      <c r="B46" s="276"/>
      <c r="C46" s="277" t="s">
        <v>397</v>
      </c>
      <c r="D46" s="276"/>
      <c r="E46" s="276"/>
      <c r="F46" s="276"/>
      <c r="G46" s="276"/>
      <c r="H46" s="289"/>
      <c r="I46" s="287"/>
      <c r="J46" s="387"/>
      <c r="K46" s="280"/>
      <c r="L46" s="283">
        <f>IF(P46=1,ROUND(I46/12*BeskGradNyLøn*(1+PctRegNyLøn%),2),(ROUND((1+PctRegNyLøn%)*I46/12,2)))</f>
        <v>0</v>
      </c>
      <c r="M46" s="284">
        <f t="shared" si="6"/>
        <v>0</v>
      </c>
      <c r="N46" s="293"/>
      <c r="O46" s="532"/>
      <c r="P46" s="528">
        <f t="shared" si="7"/>
        <v>1</v>
      </c>
      <c r="Q46" s="293"/>
      <c r="S46" s="632"/>
      <c r="T46" s="633"/>
      <c r="U46" s="633"/>
      <c r="V46" s="633"/>
      <c r="W46" s="633"/>
      <c r="X46" s="633"/>
      <c r="Y46" s="633"/>
      <c r="Z46" s="633"/>
      <c r="AA46" s="633"/>
      <c r="AB46" s="633"/>
      <c r="AC46" s="633"/>
      <c r="AD46" s="634"/>
      <c r="AG46" s="276"/>
      <c r="AH46" s="276"/>
      <c r="AI46" s="610"/>
      <c r="AJ46" s="610"/>
      <c r="AK46" s="334"/>
      <c r="AL46" s="334"/>
    </row>
    <row r="47" spans="1:38" ht="6" customHeight="1" x14ac:dyDescent="0.25">
      <c r="A47" s="288"/>
      <c r="B47" s="276"/>
      <c r="K47" s="280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G47" s="276"/>
      <c r="AH47" s="276"/>
      <c r="AI47" s="610"/>
      <c r="AJ47" s="610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ROUND((VLOOKUP($J$19+J24+J27+J28+J29+J30+J41+J42+J43+J48,TabelLøn,StartkolonneNyLøn,1)-VLOOKUP($J$19+J24+J27+J28+J29+J30+J41+J42+J43,TabelLøn,StartkolonneNyLøn,1))*BeskGradNyLøn,2)</f>
        <v>0</v>
      </c>
      <c r="M48" s="284">
        <f t="shared" ref="M48:M54" si="8">L48*12</f>
        <v>0</v>
      </c>
      <c r="N48" s="293"/>
      <c r="O48" s="293"/>
      <c r="P48" s="293"/>
      <c r="Q48" s="293"/>
      <c r="S48" s="632"/>
      <c r="T48" s="633"/>
      <c r="U48" s="633"/>
      <c r="V48" s="633"/>
      <c r="W48" s="633"/>
      <c r="X48" s="633"/>
      <c r="Y48" s="633"/>
      <c r="Z48" s="633"/>
      <c r="AA48" s="633"/>
      <c r="AB48" s="633"/>
      <c r="AC48" s="633"/>
      <c r="AD48" s="634"/>
      <c r="AG48" s="611"/>
      <c r="AH48" s="611"/>
      <c r="AI48" s="610"/>
      <c r="AJ48" s="610"/>
      <c r="AK48" s="334"/>
      <c r="AL48" s="334"/>
    </row>
    <row r="49" spans="1:53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ROUND((VLOOKUP($J$19+J24+J27+J28+J29+J30+J41+J42+J43+J48+J49,TabelLøn,StartkolonneNyLøn,1)-VLOOKUP($J$19+J24+J27+J28+J29+J30+J41+J42+J43+J48,TabelLøn,StartkolonneNyLøn,1))*BeskGradNyLøn,2)</f>
        <v>0</v>
      </c>
      <c r="M49" s="284">
        <f t="shared" si="8"/>
        <v>0</v>
      </c>
      <c r="N49" s="293"/>
      <c r="O49" s="293"/>
      <c r="P49" s="293"/>
      <c r="Q49" s="293"/>
      <c r="S49" s="632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4"/>
      <c r="AG49" s="408"/>
      <c r="AH49" s="276"/>
      <c r="AI49" s="406"/>
      <c r="AK49" s="334"/>
      <c r="AL49" s="334"/>
    </row>
    <row r="50" spans="1:53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ROUND((VLOOKUP($J$19+J24+J27+J28+J29+J30+J41+J42+J43+J48+J49+J50,TabelLøn,StartkolonneNyLøn,1)-VLOOKUP($J$19+J24+J27+J28+J29+J30+J41+J42+J43+J48+J49,TabelLøn,StartkolonneNyLøn,1))*BeskGradNyLøn,2)</f>
        <v>0</v>
      </c>
      <c r="M50" s="284">
        <f t="shared" si="8"/>
        <v>0</v>
      </c>
      <c r="N50" s="293"/>
      <c r="O50" s="293"/>
      <c r="P50" s="293"/>
      <c r="Q50" s="293"/>
      <c r="S50" s="632"/>
      <c r="T50" s="633"/>
      <c r="U50" s="633"/>
      <c r="V50" s="633"/>
      <c r="W50" s="633"/>
      <c r="X50" s="633"/>
      <c r="Y50" s="633"/>
      <c r="Z50" s="633"/>
      <c r="AA50" s="633"/>
      <c r="AB50" s="633"/>
      <c r="AC50" s="633"/>
      <c r="AD50" s="634"/>
      <c r="AG50" s="611" t="e">
        <f>+VLOOKUP(Y15,Vejledning!A:AP,36,1)</f>
        <v>#N/A</v>
      </c>
      <c r="AH50" s="611"/>
      <c r="AI50" s="610" t="e">
        <f>+VLOOKUP(Y15,Vejledning!A:AP,37,1)</f>
        <v>#N/A</v>
      </c>
      <c r="AJ50" s="610"/>
      <c r="AK50" s="334"/>
      <c r="AL50" s="334"/>
    </row>
    <row r="51" spans="1:53" s="383" customFormat="1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J51" s="294"/>
      <c r="L51" s="283">
        <f>ROUND((VLOOKUP($J$19+J24+J27+J28+J29+J30+J41+J42+J43+J48+J49+J50+J51,TabelLøn,StartkolonneNyLøn,1)-VLOOKUP($J$19+J24+J27+J28+J29+J30+J41+J42+J43+J48+J49+J50,TabelLøn,StartkolonneNyLøn,1))*BeskGradNyLøn,2)</f>
        <v>0</v>
      </c>
      <c r="M51" s="284">
        <f t="shared" si="8"/>
        <v>0</v>
      </c>
      <c r="N51" s="293"/>
      <c r="O51" s="293"/>
      <c r="P51" s="293"/>
      <c r="Q51" s="293"/>
      <c r="R51" s="277"/>
      <c r="S51" s="632"/>
      <c r="T51" s="633"/>
      <c r="U51" s="633"/>
      <c r="V51" s="633"/>
      <c r="W51" s="633"/>
      <c r="X51" s="633"/>
      <c r="Y51" s="633"/>
      <c r="Z51" s="633"/>
      <c r="AA51" s="633"/>
      <c r="AB51" s="633"/>
      <c r="AC51" s="633"/>
      <c r="AD51" s="634"/>
      <c r="AK51" s="334"/>
      <c r="AL51" s="334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</row>
    <row r="52" spans="1:53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3"/>
      <c r="J52" s="294"/>
      <c r="K52" s="280"/>
      <c r="L52" s="283">
        <f>ROUND((VLOOKUP($J$19+J24+J27+J28+J29+J30+J41+J42+J43+J48+J49+J50+J51+J52,TabelLøn,StartkolonneNyLøn,1)-VLOOKUP($J$19+J24+J27+J28+J29+J30+J41+J42+J43+J48+J49+J50+J51,TabelLøn,StartkolonneNyLøn,1))*BeskGradNyLøn,2)</f>
        <v>0</v>
      </c>
      <c r="M52" s="284">
        <f t="shared" si="8"/>
        <v>0</v>
      </c>
      <c r="N52" s="293"/>
      <c r="O52" s="293"/>
      <c r="P52" s="293"/>
      <c r="Q52" s="293"/>
      <c r="S52" s="632"/>
      <c r="T52" s="633"/>
      <c r="U52" s="633"/>
      <c r="V52" s="633"/>
      <c r="W52" s="633"/>
      <c r="X52" s="633"/>
      <c r="Y52" s="633"/>
      <c r="Z52" s="633"/>
      <c r="AA52" s="633"/>
      <c r="AB52" s="633"/>
      <c r="AC52" s="633"/>
      <c r="AD52" s="634"/>
      <c r="AG52" s="408"/>
      <c r="AH52" s="276"/>
      <c r="AI52" s="406"/>
      <c r="AK52" s="334"/>
      <c r="AL52" s="334"/>
    </row>
    <row r="53" spans="1:53" ht="12.75" customHeight="1" x14ac:dyDescent="0.25">
      <c r="A53" s="288"/>
      <c r="B53" s="276"/>
      <c r="C53" s="277" t="s">
        <v>400</v>
      </c>
      <c r="D53" s="276"/>
      <c r="E53" s="276"/>
      <c r="F53" s="276"/>
      <c r="G53" s="276"/>
      <c r="H53" s="276"/>
      <c r="I53" s="382"/>
      <c r="J53" s="294"/>
      <c r="K53" s="280"/>
      <c r="L53" s="283">
        <f>ROUND((VLOOKUP($J$19+J24+J27+J28+J29+J30+J41+J42+J43+J48+J49+J50+J51+J52+J53,TabelLøn,StartkolonneNyLøn,1)-VLOOKUP($J$19+J24+J27+J28+J29+J30+J41+J42+J43+J48+J49+J50+J51+J52,TabelLøn,StartkolonneNyLøn,1))*BeskGradNyLøn,2)</f>
        <v>0</v>
      </c>
      <c r="M53" s="284">
        <f t="shared" si="8"/>
        <v>0</v>
      </c>
      <c r="N53" s="293"/>
      <c r="O53" s="293"/>
      <c r="P53" s="293"/>
      <c r="Q53" s="293"/>
      <c r="S53" s="545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7"/>
      <c r="AG53" s="408"/>
      <c r="AH53" s="276"/>
      <c r="AI53" s="406"/>
      <c r="AK53" s="334"/>
      <c r="AL53" s="334"/>
    </row>
    <row r="54" spans="1:53" ht="12.75" customHeight="1" x14ac:dyDescent="0.25">
      <c r="A54" s="288"/>
      <c r="B54" s="276"/>
      <c r="C54" s="277" t="s">
        <v>481</v>
      </c>
      <c r="D54" s="276"/>
      <c r="E54" s="276"/>
      <c r="F54" s="276"/>
      <c r="G54" s="276"/>
      <c r="H54" s="289"/>
      <c r="I54" s="287"/>
      <c r="J54" s="386"/>
      <c r="K54" s="280"/>
      <c r="L54" s="283">
        <f>IF(P54=1,ROUND(I54/12*BeskGradNyLøn*(1+PctRegNyLøn%),2),(ROUND((1+PctRegNyLøn%)*I54/12,2)))</f>
        <v>0</v>
      </c>
      <c r="M54" s="284">
        <f t="shared" si="8"/>
        <v>0</v>
      </c>
      <c r="N54" s="293"/>
      <c r="O54" s="532"/>
      <c r="P54" s="528">
        <f t="shared" ref="P54:P58" si="9">IF(O54="x",0,1)</f>
        <v>1</v>
      </c>
      <c r="Q54" s="293"/>
      <c r="S54" s="632"/>
      <c r="T54" s="633"/>
      <c r="U54" s="633"/>
      <c r="V54" s="633"/>
      <c r="W54" s="633"/>
      <c r="X54" s="633"/>
      <c r="Y54" s="633"/>
      <c r="Z54" s="633"/>
      <c r="AA54" s="633"/>
      <c r="AB54" s="633"/>
      <c r="AC54" s="633"/>
      <c r="AD54" s="634"/>
      <c r="AG54" s="611" t="e">
        <f>+VLOOKUP(Y15,Vejledning!A:AP,38,1)</f>
        <v>#N/A</v>
      </c>
      <c r="AH54" s="611"/>
      <c r="AI54" s="610" t="e">
        <f>+VLOOKUP(Y15,Vejledning!A:AP,39,1)</f>
        <v>#N/A</v>
      </c>
      <c r="AJ54" s="610"/>
      <c r="AK54" s="334"/>
      <c r="AL54" s="334"/>
    </row>
    <row r="55" spans="1:53" ht="8.25" hidden="1" customHeight="1" x14ac:dyDescent="0.25">
      <c r="A55" s="288"/>
      <c r="B55" s="276"/>
      <c r="D55" s="276"/>
      <c r="E55" s="276"/>
      <c r="F55" s="276"/>
      <c r="G55" s="276"/>
      <c r="H55" s="289"/>
      <c r="I55" s="287"/>
      <c r="J55" s="387"/>
      <c r="K55" s="280"/>
      <c r="L55" s="283"/>
      <c r="M55" s="284"/>
      <c r="N55" s="293"/>
      <c r="O55" s="532"/>
      <c r="P55" s="528"/>
      <c r="Q55" s="293"/>
      <c r="S55" s="545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7"/>
      <c r="AG55" s="548"/>
      <c r="AH55" s="548"/>
      <c r="AI55" s="549"/>
      <c r="AJ55" s="549"/>
      <c r="AK55" s="334"/>
      <c r="AL55" s="334"/>
    </row>
    <row r="56" spans="1:53" ht="12.75" customHeight="1" x14ac:dyDescent="0.25">
      <c r="A56" s="288"/>
      <c r="B56" s="276"/>
      <c r="C56" s="277" t="s">
        <v>481</v>
      </c>
      <c r="D56" s="276"/>
      <c r="E56" s="276"/>
      <c r="F56" s="276"/>
      <c r="G56" s="276"/>
      <c r="H56" s="289"/>
      <c r="I56" s="287"/>
      <c r="J56" s="387"/>
      <c r="K56" s="280"/>
      <c r="L56" s="283">
        <f>IF(P56=1,ROUND(I56/12*BeskGradNyLøn*(1+PctRegNyLøn%),2),(ROUND((1+PctRegNyLøn%)*I56/12,2)))</f>
        <v>0</v>
      </c>
      <c r="M56" s="284">
        <f t="shared" si="6"/>
        <v>0</v>
      </c>
      <c r="N56" s="293"/>
      <c r="O56" s="532"/>
      <c r="P56" s="528">
        <f t="shared" si="9"/>
        <v>1</v>
      </c>
      <c r="Q56" s="293"/>
      <c r="S56" s="632"/>
      <c r="T56" s="633"/>
      <c r="U56" s="633"/>
      <c r="V56" s="633"/>
      <c r="W56" s="633"/>
      <c r="X56" s="633"/>
      <c r="Y56" s="633"/>
      <c r="Z56" s="633"/>
      <c r="AA56" s="633"/>
      <c r="AB56" s="633"/>
      <c r="AC56" s="633"/>
      <c r="AD56" s="634"/>
      <c r="AI56" s="406"/>
      <c r="AK56" s="334"/>
      <c r="AL56" s="334"/>
    </row>
    <row r="57" spans="1:53" ht="12.75" customHeight="1" x14ac:dyDescent="0.25">
      <c r="A57" s="288"/>
      <c r="B57" s="276"/>
      <c r="C57" s="277" t="s">
        <v>481</v>
      </c>
      <c r="D57" s="276"/>
      <c r="E57" s="276"/>
      <c r="F57" s="276"/>
      <c r="G57" s="276"/>
      <c r="H57" s="289"/>
      <c r="I57" s="287"/>
      <c r="J57" s="387"/>
      <c r="K57" s="280"/>
      <c r="L57" s="283">
        <f>IF(P57=1,ROUND(I57/12*BeskGradNyLøn*(1+PctRegNyLøn%),2),(ROUND((1+PctRegNyLøn%)*I57/12,2)))</f>
        <v>0</v>
      </c>
      <c r="M57" s="284">
        <f>L57*12</f>
        <v>0</v>
      </c>
      <c r="N57" s="293"/>
      <c r="O57" s="532"/>
      <c r="P57" s="528">
        <f t="shared" si="9"/>
        <v>1</v>
      </c>
      <c r="Q57" s="293"/>
      <c r="S57" s="632"/>
      <c r="T57" s="633"/>
      <c r="U57" s="633"/>
      <c r="V57" s="633"/>
      <c r="W57" s="633"/>
      <c r="X57" s="633"/>
      <c r="Y57" s="633"/>
      <c r="Z57" s="633"/>
      <c r="AA57" s="633"/>
      <c r="AB57" s="633"/>
      <c r="AC57" s="633"/>
      <c r="AD57" s="634"/>
      <c r="AG57" s="611" t="e">
        <f>+VLOOKUP(Y15,Vejledning!A:AP,40,1)</f>
        <v>#N/A</v>
      </c>
      <c r="AH57" s="611"/>
      <c r="AI57" s="610" t="e">
        <f>+VLOOKUP(Y15,Vejledning!A:AP,41,1)</f>
        <v>#N/A</v>
      </c>
      <c r="AJ57" s="610"/>
      <c r="AK57" s="334"/>
      <c r="AL57" s="334"/>
    </row>
    <row r="58" spans="1:53" ht="12.75" customHeight="1" x14ac:dyDescent="0.25">
      <c r="A58" s="288"/>
      <c r="B58" s="276"/>
      <c r="C58" s="277" t="s">
        <v>481</v>
      </c>
      <c r="D58" s="276"/>
      <c r="E58" s="276"/>
      <c r="F58" s="276"/>
      <c r="G58" s="276"/>
      <c r="H58" s="289"/>
      <c r="I58" s="287"/>
      <c r="J58" s="387"/>
      <c r="K58" s="280"/>
      <c r="L58" s="283">
        <f>IF(P58=1,ROUND(I58/12*BeskGradNyLøn*(1+PctRegNyLøn%),2),(ROUND((1+PctRegNyLøn%)*I58/12,2)))</f>
        <v>0</v>
      </c>
      <c r="M58" s="284">
        <f t="shared" si="6"/>
        <v>0</v>
      </c>
      <c r="N58" s="293"/>
      <c r="O58" s="532"/>
      <c r="P58" s="528">
        <f t="shared" si="9"/>
        <v>1</v>
      </c>
      <c r="Q58" s="293"/>
      <c r="S58" s="632"/>
      <c r="T58" s="633"/>
      <c r="U58" s="633"/>
      <c r="V58" s="633"/>
      <c r="W58" s="633"/>
      <c r="X58" s="633"/>
      <c r="Y58" s="633"/>
      <c r="Z58" s="633"/>
      <c r="AA58" s="633"/>
      <c r="AB58" s="633"/>
      <c r="AC58" s="633"/>
      <c r="AD58" s="634"/>
      <c r="AI58" s="610"/>
      <c r="AJ58" s="610"/>
      <c r="AK58" s="334"/>
      <c r="AL58" s="334"/>
    </row>
    <row r="59" spans="1:53" ht="6" customHeight="1" x14ac:dyDescent="0.25">
      <c r="A59" s="288"/>
      <c r="B59" s="276"/>
      <c r="K59" s="280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I59" s="406"/>
      <c r="AK59" s="334"/>
      <c r="AL59" s="334"/>
    </row>
    <row r="60" spans="1:53" ht="12.75" customHeight="1" x14ac:dyDescent="0.25">
      <c r="A60" s="288"/>
      <c r="B60" s="277" t="s">
        <v>482</v>
      </c>
      <c r="C60" s="276"/>
      <c r="D60" s="276"/>
      <c r="E60" s="276"/>
      <c r="F60" s="276"/>
      <c r="G60" s="276"/>
      <c r="H60" s="289"/>
      <c r="I60" s="287"/>
      <c r="J60" s="294"/>
      <c r="K60" s="280"/>
      <c r="L60" s="283">
        <f>IF(P60=1,ROUND(I60/12*BeskGradNyLøn*(1+PctRegNyLøn%),2),(ROUND((1+PctRegNyLøn%)*I60/12,2)))+ROUND((VLOOKUP($J$19+J24+J27+J28+J29+J30+J41+J42+J43+J48+J49+J50+J52+J60,TabelLøn,StartkolonneNyLøn,1)-VLOOKUP($J$19+J24+J27+J28+J29+J30+J41+J42+J43+J48+J49+J50+J52,TabelLøn,StartkolonneNyLøn,1))*BeskGradNyLøn,2)</f>
        <v>0</v>
      </c>
      <c r="M60" s="284">
        <f t="shared" si="6"/>
        <v>0</v>
      </c>
      <c r="N60" s="293"/>
      <c r="O60" s="532" t="s">
        <v>7</v>
      </c>
      <c r="P60" s="528">
        <f t="shared" ref="P60:P61" si="10">IF(O60="x",0,1)</f>
        <v>1</v>
      </c>
      <c r="Q60" s="29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G60" s="611" t="e">
        <f>+VLOOKUP(Y15,Vejledning!A:AP,42,1)</f>
        <v>#N/A</v>
      </c>
      <c r="AH60" s="611"/>
      <c r="AI60" s="610" t="e">
        <f>+VLOOKUP(Y15,Vejledning!A:AS,43,1)</f>
        <v>#N/A</v>
      </c>
      <c r="AJ60" s="610"/>
      <c r="AK60" s="334"/>
      <c r="AL60" s="334"/>
    </row>
    <row r="61" spans="1:53" ht="12.75" customHeight="1" x14ac:dyDescent="0.25">
      <c r="A61" s="288"/>
      <c r="B61" s="277" t="s">
        <v>483</v>
      </c>
      <c r="C61" s="276"/>
      <c r="D61" s="276"/>
      <c r="E61" s="276"/>
      <c r="F61" s="276"/>
      <c r="G61" s="276"/>
      <c r="H61" s="289"/>
      <c r="I61" s="287"/>
      <c r="J61" s="387"/>
      <c r="K61" s="280"/>
      <c r="L61" s="283">
        <f>IF(P61=1,ROUND(I61/12*BeskGradNyLøn*(1+PctRegNyLøn%),2),(ROUND((1+PctRegNyLøn%)*I61/12,2)))</f>
        <v>0</v>
      </c>
      <c r="M61" s="284">
        <f>L61*12</f>
        <v>0</v>
      </c>
      <c r="N61" s="293"/>
      <c r="O61" s="532" t="s">
        <v>7</v>
      </c>
      <c r="P61" s="528">
        <f t="shared" si="10"/>
        <v>1</v>
      </c>
      <c r="Q61" s="29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G61" s="276"/>
      <c r="AI61" s="610"/>
      <c r="AJ61" s="610"/>
      <c r="AK61" s="334"/>
      <c r="AL61" s="334"/>
    </row>
    <row r="62" spans="1:53" ht="6" customHeight="1" x14ac:dyDescent="0.25">
      <c r="A62" s="288"/>
      <c r="B62" s="276"/>
      <c r="K62" s="280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I62" s="406"/>
      <c r="AK62" s="334"/>
      <c r="AL62" s="334"/>
    </row>
    <row r="63" spans="1:53" ht="12.75" customHeight="1" x14ac:dyDescent="0.25">
      <c r="A63" s="288"/>
      <c r="B63" s="277" t="s">
        <v>484</v>
      </c>
      <c r="C63" s="276"/>
      <c r="D63" s="276"/>
      <c r="E63" s="276"/>
      <c r="F63" s="276"/>
      <c r="G63" s="276"/>
      <c r="H63" s="289"/>
      <c r="I63" s="287"/>
      <c r="J63" s="387"/>
      <c r="K63" s="280"/>
      <c r="L63" s="283">
        <f>IF(P63=1,ROUND(I63/12*BeskGradNyLøn*(1+PctRegNyLøn%),2),(ROUND((1+PctRegNyLøn%)*I63/12,2)))</f>
        <v>0</v>
      </c>
      <c r="M63" s="284">
        <f>L63*12</f>
        <v>0</v>
      </c>
      <c r="N63" s="293"/>
      <c r="O63" s="532"/>
      <c r="P63" s="528">
        <f t="shared" ref="P63" si="11">IF(O63="x",0,1)</f>
        <v>1</v>
      </c>
      <c r="Q63" s="29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G63" s="611"/>
      <c r="AH63" s="611"/>
      <c r="AI63" s="406"/>
      <c r="AK63" s="334"/>
      <c r="AL63" s="334"/>
    </row>
    <row r="64" spans="1:53" ht="6.75" customHeight="1" x14ac:dyDescent="0.25">
      <c r="A64" s="288"/>
      <c r="B64" s="276"/>
      <c r="K64" s="280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I64" s="406"/>
      <c r="AK64" s="334"/>
      <c r="AL64" s="334"/>
    </row>
    <row r="65" spans="1:38" ht="12.75" customHeight="1" x14ac:dyDescent="0.25">
      <c r="A65" s="288"/>
      <c r="B65" s="276" t="s">
        <v>410</v>
      </c>
      <c r="C65" s="291"/>
      <c r="D65" s="291"/>
      <c r="E65" s="291"/>
      <c r="F65" s="291"/>
      <c r="G65" s="291"/>
      <c r="H65" s="292"/>
      <c r="I65" s="328">
        <f>SUM(I19:I63)</f>
        <v>0</v>
      </c>
      <c r="J65" s="329">
        <f>SUM(J19:J63)</f>
        <v>0</v>
      </c>
      <c r="K65" s="280"/>
      <c r="L65" s="312">
        <f>SUM(L19:L63)</f>
        <v>0</v>
      </c>
      <c r="M65" s="284">
        <f>SUM(M19:M63)</f>
        <v>0</v>
      </c>
      <c r="N65" s="293"/>
      <c r="O65" s="293"/>
      <c r="P65" s="293"/>
      <c r="Q65" s="293"/>
      <c r="U65" s="290"/>
      <c r="V65" s="290"/>
      <c r="AG65" s="611" t="e">
        <f>+VLOOKUP(Y15,Vejledning!A:AR,44,1)</f>
        <v>#N/A</v>
      </c>
      <c r="AI65" s="610" t="e">
        <f>+VLOOKUP(Y15,Vejledning!A:AS,45,1)</f>
        <v>#N/A</v>
      </c>
      <c r="AJ65" s="610"/>
      <c r="AK65" s="334"/>
      <c r="AL65" s="334"/>
    </row>
    <row r="66" spans="1:38" ht="6" customHeight="1" x14ac:dyDescent="0.25">
      <c r="A66" s="288"/>
      <c r="B66" s="276"/>
      <c r="K66" s="280"/>
      <c r="S66" s="303"/>
      <c r="T66" s="303"/>
      <c r="U66" s="290"/>
      <c r="V66" s="290"/>
      <c r="W66" s="303"/>
      <c r="X66" s="303"/>
      <c r="Y66" s="303"/>
      <c r="Z66" s="303"/>
      <c r="AA66" s="303"/>
      <c r="AB66" s="303"/>
      <c r="AC66" s="303"/>
      <c r="AD66" s="303"/>
      <c r="AG66" s="611"/>
      <c r="AI66" s="610"/>
      <c r="AJ66" s="610"/>
      <c r="AK66" s="334"/>
      <c r="AL66" s="334"/>
    </row>
    <row r="67" spans="1:38" ht="12.75" customHeight="1" x14ac:dyDescent="0.25">
      <c r="A67" s="288"/>
      <c r="B67" s="290" t="s">
        <v>411</v>
      </c>
      <c r="C67" s="290" t="s">
        <v>22</v>
      </c>
      <c r="D67" s="276"/>
      <c r="E67" s="276"/>
      <c r="F67" s="276"/>
      <c r="G67" s="276"/>
      <c r="H67" s="276"/>
      <c r="I67" s="310"/>
      <c r="K67" s="280"/>
      <c r="L67" s="283">
        <f>ROUND(VLOOKUP(J65,TabelLønninger,VLOOKUP(LønkodeNyLøn,TabelPensgivLøn,2))*PensionsProcentNyLøn/100/12*(TællerNyLøn/M9),2)+(PensionsProcentNyLøn/100*(+L20+L25+L31+L32+L33+L34+L44+L45+L46+L54+L56+L57+L58+L60+L63))</f>
        <v>0</v>
      </c>
      <c r="M67" s="284">
        <f>L67*12</f>
        <v>0</v>
      </c>
      <c r="N67" s="293"/>
      <c r="O67" s="293"/>
      <c r="P67" s="293"/>
      <c r="Q67" s="293"/>
      <c r="U67" s="290"/>
      <c r="V67" s="290"/>
      <c r="AG67" s="611"/>
      <c r="AI67" s="610"/>
      <c r="AJ67" s="610"/>
      <c r="AK67" s="334"/>
      <c r="AL67" s="334"/>
    </row>
    <row r="68" spans="1:38" ht="12.75" customHeight="1" x14ac:dyDescent="0.25">
      <c r="A68" s="288"/>
      <c r="B68" s="285" t="s">
        <v>406</v>
      </c>
      <c r="C68" s="290"/>
      <c r="D68" s="291"/>
      <c r="E68" s="291"/>
      <c r="F68" s="291"/>
      <c r="G68" s="291"/>
      <c r="H68" s="291"/>
      <c r="I68" s="310"/>
      <c r="J68" s="330"/>
      <c r="K68" s="280"/>
      <c r="L68" s="312">
        <f>SUM(L65:L67)</f>
        <v>0</v>
      </c>
      <c r="M68" s="313">
        <f>SUM(M65:M67)</f>
        <v>0</v>
      </c>
      <c r="N68" s="331"/>
      <c r="O68" s="331"/>
      <c r="P68" s="331"/>
      <c r="Q68" s="331"/>
      <c r="U68" s="293"/>
      <c r="V68" s="293"/>
      <c r="AI68" s="406"/>
      <c r="AK68" s="334"/>
      <c r="AL68" s="334"/>
    </row>
    <row r="69" spans="1:38" ht="4.5" customHeight="1" x14ac:dyDescent="0.25">
      <c r="A69" s="288"/>
      <c r="B69" s="285"/>
      <c r="C69" s="290"/>
      <c r="D69" s="291"/>
      <c r="E69" s="291"/>
      <c r="F69" s="291"/>
      <c r="G69" s="291"/>
      <c r="H69" s="291"/>
      <c r="I69" s="310"/>
      <c r="J69" s="330"/>
      <c r="K69" s="330"/>
      <c r="L69" s="331"/>
      <c r="M69" s="331"/>
      <c r="N69" s="331"/>
      <c r="O69" s="331"/>
      <c r="P69" s="331"/>
      <c r="Q69" s="331"/>
      <c r="U69" s="293"/>
      <c r="V69" s="293"/>
      <c r="AI69" s="406"/>
      <c r="AK69" s="334"/>
      <c r="AL69" s="334"/>
    </row>
    <row r="70" spans="1:38" ht="12" customHeight="1" x14ac:dyDescent="0.25">
      <c r="A70" s="288"/>
      <c r="B70" s="676" t="s">
        <v>769</v>
      </c>
      <c r="C70" s="677"/>
      <c r="D70" s="677"/>
      <c r="E70" s="677"/>
      <c r="F70" s="677"/>
      <c r="G70" s="677"/>
      <c r="H70" s="677"/>
      <c r="I70" s="678"/>
      <c r="J70" s="677"/>
      <c r="K70" s="677"/>
      <c r="L70" s="677"/>
      <c r="M70" s="677"/>
      <c r="N70" s="677"/>
      <c r="O70" s="677"/>
      <c r="P70" s="677"/>
      <c r="Q70" s="677"/>
      <c r="R70" s="677"/>
      <c r="S70" s="677"/>
      <c r="T70" s="677"/>
      <c r="U70" s="677"/>
      <c r="V70" s="677"/>
      <c r="W70" s="677"/>
      <c r="X70" s="677"/>
      <c r="Y70" s="677"/>
      <c r="Z70" s="677"/>
      <c r="AA70" s="677"/>
      <c r="AB70" s="677"/>
      <c r="AC70" s="677"/>
      <c r="AD70" s="679"/>
      <c r="AG70" s="618" t="s">
        <v>719</v>
      </c>
      <c r="AH70" s="619"/>
      <c r="AI70" s="619"/>
      <c r="AJ70" s="620"/>
      <c r="AK70" s="334"/>
      <c r="AL70" s="334"/>
    </row>
    <row r="71" spans="1:38" ht="9" customHeight="1" x14ac:dyDescent="0.25">
      <c r="A71" s="288"/>
      <c r="B71" s="680"/>
      <c r="C71" s="681"/>
      <c r="D71" s="681"/>
      <c r="E71" s="681"/>
      <c r="F71" s="681"/>
      <c r="G71" s="681"/>
      <c r="H71" s="681"/>
      <c r="I71" s="681"/>
      <c r="J71" s="681"/>
      <c r="K71" s="681"/>
      <c r="L71" s="681"/>
      <c r="M71" s="681"/>
      <c r="N71" s="681"/>
      <c r="O71" s="681"/>
      <c r="P71" s="681"/>
      <c r="Q71" s="681"/>
      <c r="R71" s="681"/>
      <c r="S71" s="681"/>
      <c r="T71" s="681"/>
      <c r="U71" s="681"/>
      <c r="V71" s="681"/>
      <c r="W71" s="681"/>
      <c r="X71" s="681"/>
      <c r="Y71" s="681"/>
      <c r="Z71" s="681"/>
      <c r="AA71" s="681"/>
      <c r="AB71" s="681"/>
      <c r="AC71" s="681"/>
      <c r="AD71" s="682"/>
      <c r="AG71" s="621"/>
      <c r="AH71" s="622"/>
      <c r="AI71" s="622"/>
      <c r="AJ71" s="623"/>
      <c r="AK71" s="334"/>
      <c r="AL71" s="334"/>
    </row>
    <row r="72" spans="1:38" ht="19.5" customHeight="1" x14ac:dyDescent="0.25">
      <c r="A72" s="288"/>
      <c r="B72" s="683"/>
      <c r="C72" s="684"/>
      <c r="D72" s="684"/>
      <c r="E72" s="684"/>
      <c r="F72" s="684"/>
      <c r="G72" s="684"/>
      <c r="H72" s="684"/>
      <c r="I72" s="684"/>
      <c r="J72" s="684"/>
      <c r="K72" s="684"/>
      <c r="L72" s="684"/>
      <c r="M72" s="684"/>
      <c r="N72" s="684"/>
      <c r="O72" s="684"/>
      <c r="P72" s="684"/>
      <c r="Q72" s="684"/>
      <c r="R72" s="684"/>
      <c r="S72" s="684"/>
      <c r="T72" s="684"/>
      <c r="U72" s="684"/>
      <c r="V72" s="684"/>
      <c r="W72" s="684"/>
      <c r="X72" s="684"/>
      <c r="Y72" s="684"/>
      <c r="Z72" s="684"/>
      <c r="AA72" s="684"/>
      <c r="AB72" s="684"/>
      <c r="AC72" s="684"/>
      <c r="AD72" s="685"/>
      <c r="AG72" s="612" t="s">
        <v>740</v>
      </c>
      <c r="AH72" s="613"/>
      <c r="AI72" s="613"/>
      <c r="AJ72" s="614"/>
      <c r="AK72" s="334"/>
      <c r="AL72" s="334"/>
    </row>
    <row r="73" spans="1:38" ht="7.5" customHeight="1" x14ac:dyDescent="0.25">
      <c r="B73" s="570"/>
      <c r="C73" s="625" t="s">
        <v>784</v>
      </c>
      <c r="D73" s="625"/>
      <c r="E73" s="625"/>
      <c r="F73" s="625"/>
      <c r="G73" s="625"/>
      <c r="H73" s="625"/>
      <c r="I73" s="625"/>
      <c r="J73" s="626"/>
      <c r="K73" s="626"/>
      <c r="L73" s="625" t="s">
        <v>785</v>
      </c>
      <c r="M73" s="625"/>
      <c r="N73" s="625"/>
      <c r="O73" s="625"/>
      <c r="P73" s="625"/>
      <c r="Q73" s="625"/>
      <c r="R73" s="625"/>
      <c r="S73" s="625"/>
      <c r="T73" s="625"/>
      <c r="U73" s="625"/>
      <c r="V73" s="625"/>
      <c r="W73" s="625"/>
      <c r="X73" s="626"/>
      <c r="Y73" s="626"/>
      <c r="Z73" s="626"/>
      <c r="AA73" s="626"/>
      <c r="AB73" s="626"/>
      <c r="AC73" s="626"/>
      <c r="AD73" s="626"/>
      <c r="AG73" s="612"/>
      <c r="AH73" s="613"/>
      <c r="AI73" s="613"/>
      <c r="AJ73" s="614"/>
      <c r="AK73" s="334"/>
      <c r="AL73" s="334"/>
    </row>
    <row r="74" spans="1:38" ht="9.75" customHeight="1" x14ac:dyDescent="0.25">
      <c r="B74" s="570"/>
      <c r="C74" s="627"/>
      <c r="D74" s="627"/>
      <c r="E74" s="627"/>
      <c r="F74" s="627"/>
      <c r="G74" s="627"/>
      <c r="H74" s="627"/>
      <c r="I74" s="627"/>
      <c r="J74" s="628"/>
      <c r="K74" s="628"/>
      <c r="L74" s="628"/>
      <c r="M74" s="628"/>
      <c r="N74" s="628"/>
      <c r="O74" s="628"/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/>
      <c r="AB74" s="628"/>
      <c r="AC74" s="628"/>
      <c r="AD74" s="628"/>
      <c r="AG74" s="612" t="s">
        <v>741</v>
      </c>
      <c r="AH74" s="613"/>
      <c r="AI74" s="613"/>
      <c r="AJ74" s="614"/>
      <c r="AK74" s="334"/>
      <c r="AL74" s="334"/>
    </row>
    <row r="75" spans="1:38" s="320" customFormat="1" ht="15.75" customHeight="1" x14ac:dyDescent="0.2">
      <c r="B75" s="506" t="s">
        <v>760</v>
      </c>
      <c r="C75" s="357"/>
      <c r="D75" s="357"/>
      <c r="E75" s="630"/>
      <c r="F75" s="630"/>
      <c r="G75" s="630"/>
      <c r="H75" s="630"/>
      <c r="I75" s="630"/>
      <c r="J75" s="630"/>
      <c r="K75" s="631"/>
      <c r="L75" s="506" t="s">
        <v>760</v>
      </c>
      <c r="M75" s="689"/>
      <c r="N75" s="689"/>
      <c r="O75" s="689"/>
      <c r="P75" s="689"/>
      <c r="Q75" s="689"/>
      <c r="R75" s="689"/>
      <c r="S75" s="689"/>
      <c r="T75" s="689"/>
      <c r="U75" s="689"/>
      <c r="V75" s="689"/>
      <c r="W75" s="689"/>
      <c r="X75" s="689"/>
      <c r="Y75" s="689"/>
      <c r="Z75" s="689"/>
      <c r="AA75" s="689"/>
      <c r="AB75" s="689"/>
      <c r="AC75" s="689"/>
      <c r="AD75" s="690"/>
      <c r="AF75" s="412"/>
      <c r="AG75" s="612"/>
      <c r="AH75" s="613"/>
      <c r="AI75" s="613"/>
      <c r="AJ75" s="614"/>
      <c r="AK75" s="336"/>
      <c r="AL75" s="336"/>
    </row>
    <row r="76" spans="1:38" s="320" customFormat="1" ht="15.75" customHeight="1" x14ac:dyDescent="0.2">
      <c r="B76" s="506"/>
      <c r="C76" s="643"/>
      <c r="D76" s="644"/>
      <c r="E76" s="644"/>
      <c r="F76" s="644"/>
      <c r="G76" s="644"/>
      <c r="H76" s="644"/>
      <c r="I76" s="644"/>
      <c r="J76" s="644"/>
      <c r="K76" s="567"/>
      <c r="L76" s="687"/>
      <c r="M76" s="688"/>
      <c r="N76" s="688"/>
      <c r="O76" s="688"/>
      <c r="P76" s="688"/>
      <c r="Q76" s="688"/>
      <c r="R76" s="688"/>
      <c r="S76" s="688"/>
      <c r="T76" s="688"/>
      <c r="U76" s="688"/>
      <c r="V76" s="688"/>
      <c r="W76" s="688"/>
      <c r="X76" s="688"/>
      <c r="Y76" s="688"/>
      <c r="Z76" s="688"/>
      <c r="AA76" s="688"/>
      <c r="AB76" s="688"/>
      <c r="AC76" s="688"/>
      <c r="AD76" s="688"/>
      <c r="AE76" s="688"/>
      <c r="AF76" s="688"/>
      <c r="AG76" s="688"/>
      <c r="AH76" s="688"/>
      <c r="AI76" s="688"/>
      <c r="AJ76" s="688"/>
      <c r="AK76" s="336"/>
      <c r="AL76" s="336"/>
    </row>
    <row r="77" spans="1:38" s="320" customFormat="1" ht="13.5" customHeight="1" x14ac:dyDescent="0.2">
      <c r="B77" s="691" t="s">
        <v>65</v>
      </c>
      <c r="C77" s="691"/>
      <c r="D77" s="691"/>
      <c r="E77" s="691"/>
      <c r="F77" s="691"/>
      <c r="G77" s="691"/>
      <c r="H77" s="691"/>
      <c r="I77" s="691"/>
      <c r="J77" s="322"/>
      <c r="K77" s="322"/>
      <c r="L77" s="691" t="s">
        <v>65</v>
      </c>
      <c r="M77" s="691"/>
      <c r="N77" s="691"/>
      <c r="O77" s="691"/>
      <c r="P77" s="691"/>
      <c r="Q77" s="691"/>
      <c r="R77" s="691"/>
      <c r="S77" s="691"/>
      <c r="T77" s="691"/>
      <c r="U77" s="691"/>
      <c r="V77" s="691"/>
      <c r="W77" s="691"/>
      <c r="X77" s="321"/>
      <c r="Y77" s="321"/>
      <c r="Z77" s="321"/>
      <c r="AA77" s="321"/>
      <c r="AB77" s="321"/>
      <c r="AC77" s="321"/>
      <c r="AD77" s="321"/>
      <c r="AF77" s="412"/>
      <c r="AG77" s="568"/>
      <c r="AH77" s="568"/>
      <c r="AI77" s="568"/>
      <c r="AJ77" s="568"/>
      <c r="AK77" s="336"/>
      <c r="AL77" s="336"/>
    </row>
    <row r="78" spans="1:38" ht="21" customHeight="1" x14ac:dyDescent="0.25">
      <c r="B78" s="615"/>
      <c r="C78" s="674"/>
      <c r="D78" s="674"/>
      <c r="E78" s="674"/>
      <c r="F78" s="674"/>
      <c r="G78" s="674"/>
      <c r="H78" s="674"/>
      <c r="I78" s="674"/>
      <c r="J78" s="674"/>
      <c r="K78" s="675"/>
      <c r="L78" s="615"/>
      <c r="M78" s="616"/>
      <c r="N78" s="616"/>
      <c r="O78" s="616"/>
      <c r="P78" s="616"/>
      <c r="Q78" s="616"/>
      <c r="R78" s="616"/>
      <c r="S78" s="616"/>
      <c r="T78" s="616"/>
      <c r="U78" s="616"/>
      <c r="V78" s="616"/>
      <c r="W78" s="616"/>
      <c r="X78" s="616"/>
      <c r="Y78" s="616"/>
      <c r="Z78" s="616"/>
      <c r="AA78" s="616"/>
      <c r="AB78" s="616"/>
      <c r="AC78" s="616"/>
      <c r="AD78" s="589"/>
      <c r="AG78" s="617"/>
      <c r="AH78" s="617"/>
      <c r="AI78" s="617"/>
      <c r="AJ78" s="617"/>
      <c r="AK78" s="334"/>
      <c r="AL78" s="334"/>
    </row>
    <row r="79" spans="1:38" ht="21" customHeight="1" x14ac:dyDescent="0.25">
      <c r="B79" s="691" t="s">
        <v>786</v>
      </c>
      <c r="C79" s="691"/>
      <c r="D79" s="691"/>
      <c r="E79" s="691"/>
      <c r="F79" s="691"/>
      <c r="G79" s="691"/>
      <c r="H79" s="691"/>
      <c r="I79" s="691"/>
      <c r="J79" s="322"/>
      <c r="K79" s="322"/>
      <c r="L79" s="691" t="s">
        <v>786</v>
      </c>
      <c r="M79" s="691"/>
      <c r="N79" s="691"/>
      <c r="O79" s="691"/>
      <c r="P79" s="691"/>
      <c r="Q79" s="691"/>
      <c r="R79" s="691"/>
      <c r="S79" s="691"/>
      <c r="T79" s="691"/>
      <c r="U79" s="691"/>
      <c r="V79" s="691"/>
      <c r="W79" s="691"/>
      <c r="X79" s="321"/>
      <c r="Y79" s="321"/>
      <c r="Z79" s="321"/>
      <c r="AA79" s="321"/>
      <c r="AB79" s="321"/>
      <c r="AC79" s="321"/>
      <c r="AD79" s="321"/>
      <c r="AG79" s="624"/>
      <c r="AH79" s="624"/>
      <c r="AI79" s="624"/>
      <c r="AJ79" s="624"/>
      <c r="AK79" s="334"/>
      <c r="AL79" s="334"/>
    </row>
    <row r="80" spans="1:38" ht="6.75" customHeight="1" x14ac:dyDescent="0.25">
      <c r="C80" s="509"/>
    </row>
    <row r="81" spans="1:41" ht="12.75" customHeight="1" x14ac:dyDescent="0.25">
      <c r="A81" s="276"/>
      <c r="B81" s="276"/>
      <c r="L81" s="278"/>
      <c r="M81" s="646" t="s">
        <v>730</v>
      </c>
      <c r="N81" s="646"/>
      <c r="O81" s="646"/>
      <c r="P81" s="646"/>
      <c r="Q81" s="646"/>
      <c r="R81" s="646"/>
      <c r="S81" s="646"/>
      <c r="T81" s="646"/>
      <c r="U81" s="646"/>
      <c r="V81" s="646"/>
      <c r="W81" s="646"/>
      <c r="X81" s="646"/>
      <c r="Y81" s="646"/>
      <c r="Z81" s="646"/>
      <c r="AA81" s="646"/>
      <c r="AB81" s="646"/>
      <c r="AC81" s="646"/>
      <c r="AD81" s="646"/>
      <c r="AE81" s="646"/>
      <c r="AF81" s="413"/>
      <c r="AG81" s="276"/>
      <c r="AH81" s="276"/>
      <c r="AI81" s="276"/>
      <c r="AJ81" s="276"/>
      <c r="AK81" s="338"/>
      <c r="AL81" s="338"/>
      <c r="AM81" s="338"/>
      <c r="AN81" s="338"/>
      <c r="AO81" s="338"/>
    </row>
    <row r="82" spans="1:41" ht="19.5" customHeight="1" x14ac:dyDescent="0.35">
      <c r="A82" s="308"/>
      <c r="B82" s="452" t="s">
        <v>729</v>
      </c>
      <c r="C82" s="452"/>
      <c r="D82" s="452"/>
      <c r="E82" s="452"/>
      <c r="F82" s="452"/>
      <c r="G82" s="452"/>
      <c r="H82" s="452"/>
      <c r="I82" s="452"/>
      <c r="J82" s="452"/>
      <c r="K82" s="452"/>
      <c r="L82" s="452"/>
      <c r="M82" s="646"/>
      <c r="N82" s="646"/>
      <c r="O82" s="646"/>
      <c r="P82" s="646"/>
      <c r="Q82" s="646"/>
      <c r="R82" s="646"/>
      <c r="S82" s="646"/>
      <c r="T82" s="646"/>
      <c r="U82" s="646"/>
      <c r="V82" s="646"/>
      <c r="W82" s="646"/>
      <c r="X82" s="646"/>
      <c r="Y82" s="646"/>
      <c r="Z82" s="646"/>
      <c r="AA82" s="646"/>
      <c r="AB82" s="646"/>
      <c r="AC82" s="646"/>
      <c r="AD82" s="646"/>
      <c r="AE82" s="646"/>
      <c r="AK82" s="334"/>
      <c r="AL82" s="334"/>
    </row>
    <row r="83" spans="1:41" ht="5.25" customHeight="1" x14ac:dyDescent="0.25">
      <c r="A83" s="647" t="s">
        <v>7</v>
      </c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536"/>
      <c r="O83" s="536"/>
      <c r="P83" s="536"/>
      <c r="Q83" s="536"/>
      <c r="AK83" s="334"/>
      <c r="AL83" s="334"/>
    </row>
    <row r="84" spans="1:41" ht="12.75" customHeight="1" x14ac:dyDescent="0.25">
      <c r="A84" s="288"/>
      <c r="B84" s="629" t="s">
        <v>65</v>
      </c>
      <c r="C84" s="629"/>
      <c r="D84" s="629"/>
      <c r="E84" s="629"/>
      <c r="F84" s="629"/>
      <c r="G84" s="629"/>
      <c r="H84" s="289"/>
      <c r="I84" s="632" t="str">
        <f>+IF(+I4&gt;0,+I4," ")</f>
        <v xml:space="preserve"> </v>
      </c>
      <c r="J84" s="633"/>
      <c r="K84" s="633"/>
      <c r="L84" s="633"/>
      <c r="M84" s="634"/>
      <c r="P84" s="526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00"/>
      <c r="AK84" s="334"/>
      <c r="AL84" s="334"/>
    </row>
    <row r="85" spans="1:41" ht="12.75" hidden="1" customHeight="1" x14ac:dyDescent="0.25">
      <c r="A85" s="288"/>
      <c r="B85" s="629" t="s">
        <v>87</v>
      </c>
      <c r="C85" s="629"/>
      <c r="D85" s="629"/>
      <c r="E85" s="629"/>
      <c r="F85" s="629"/>
      <c r="G85" s="629"/>
      <c r="H85" s="289"/>
      <c r="I85" s="632" t="str">
        <f>+IF(+I7&gt;0,+I7," ")</f>
        <v xml:space="preserve"> </v>
      </c>
      <c r="J85" s="633"/>
      <c r="K85" s="633"/>
      <c r="L85" s="633"/>
      <c r="M85" s="634"/>
      <c r="P85" s="526"/>
      <c r="T85" s="342"/>
      <c r="Z85" s="300"/>
      <c r="AA85" s="300"/>
      <c r="AB85" s="300"/>
      <c r="AC85" s="300"/>
      <c r="AD85" s="300"/>
      <c r="AK85" s="334"/>
      <c r="AL85" s="334"/>
    </row>
    <row r="86" spans="1:41" ht="12.75" customHeight="1" x14ac:dyDescent="0.25">
      <c r="A86" s="288"/>
      <c r="B86" s="288" t="s">
        <v>781</v>
      </c>
      <c r="C86" s="288"/>
      <c r="D86" s="288"/>
      <c r="E86" s="288"/>
      <c r="F86" s="288"/>
      <c r="G86" s="288"/>
      <c r="H86" s="289"/>
      <c r="I86" s="632" t="str">
        <f>+IF(+I5&gt;0,+I5," ")</f>
        <v xml:space="preserve"> </v>
      </c>
      <c r="J86" s="633"/>
      <c r="K86" s="633"/>
      <c r="L86" s="633"/>
      <c r="M86" s="634"/>
      <c r="P86" s="526"/>
      <c r="T86" s="342"/>
      <c r="Z86" s="300"/>
      <c r="AA86" s="300"/>
      <c r="AB86" s="300"/>
      <c r="AC86" s="300"/>
      <c r="AD86" s="300"/>
      <c r="AK86" s="334"/>
      <c r="AL86" s="334"/>
    </row>
    <row r="87" spans="1:41" ht="12.75" customHeight="1" x14ac:dyDescent="0.25">
      <c r="A87" s="288"/>
      <c r="B87" s="288" t="s">
        <v>782</v>
      </c>
      <c r="C87" s="288"/>
      <c r="D87" s="288"/>
      <c r="E87" s="288"/>
      <c r="F87" s="288"/>
      <c r="G87" s="288"/>
      <c r="H87" s="289"/>
      <c r="I87" s="632" t="str">
        <f>+IF(+I6&gt;0,+I6," ")</f>
        <v xml:space="preserve"> </v>
      </c>
      <c r="J87" s="633"/>
      <c r="K87" s="633"/>
      <c r="L87" s="633"/>
      <c r="M87" s="634"/>
      <c r="P87" s="526"/>
      <c r="T87" s="342"/>
      <c r="Z87" s="300"/>
      <c r="AA87" s="300"/>
      <c r="AB87" s="300"/>
      <c r="AC87" s="300"/>
      <c r="AD87" s="300"/>
      <c r="AK87" s="334"/>
      <c r="AL87" s="334"/>
    </row>
    <row r="88" spans="1:41" ht="12.75" customHeight="1" x14ac:dyDescent="0.25">
      <c r="A88" s="288"/>
      <c r="B88" s="629" t="s">
        <v>783</v>
      </c>
      <c r="C88" s="629"/>
      <c r="D88" s="629"/>
      <c r="E88" s="629"/>
      <c r="F88" s="629"/>
      <c r="G88" s="629"/>
      <c r="H88" s="289"/>
      <c r="I88" s="632" t="str">
        <f>+IF(+I7&gt;0,+I7," ")</f>
        <v xml:space="preserve"> </v>
      </c>
      <c r="J88" s="633"/>
      <c r="K88" s="633"/>
      <c r="L88" s="633"/>
      <c r="M88" s="634"/>
      <c r="P88" s="526"/>
      <c r="T88" s="342"/>
      <c r="Z88" s="300"/>
      <c r="AA88" s="300"/>
      <c r="AB88" s="300"/>
      <c r="AC88" s="300"/>
      <c r="AD88" s="300"/>
      <c r="AK88" s="334"/>
      <c r="AL88" s="334"/>
    </row>
    <row r="89" spans="1:41" ht="12.75" customHeight="1" x14ac:dyDescent="0.25">
      <c r="A89" s="288"/>
      <c r="B89" s="288" t="s">
        <v>88</v>
      </c>
      <c r="C89" s="276"/>
      <c r="D89" s="276"/>
      <c r="E89" s="276"/>
      <c r="F89" s="276"/>
      <c r="G89" s="276"/>
      <c r="H89" s="289"/>
      <c r="I89" s="632" t="str">
        <f>+IF(+I8&gt;0,+I8," ")</f>
        <v xml:space="preserve"> </v>
      </c>
      <c r="J89" s="633"/>
      <c r="K89" s="633"/>
      <c r="L89" s="633"/>
      <c r="M89" s="634"/>
      <c r="P89" s="526"/>
      <c r="T89" s="342"/>
      <c r="V89" s="359"/>
      <c r="W89" s="317"/>
      <c r="X89" s="317"/>
      <c r="Y89" s="317"/>
      <c r="Z89" s="317"/>
      <c r="AA89" s="317"/>
      <c r="AB89" s="317"/>
      <c r="AC89" s="317"/>
      <c r="AD89" s="317"/>
      <c r="AK89" s="334"/>
      <c r="AL89" s="334"/>
    </row>
    <row r="90" spans="1:41" ht="12.75" customHeight="1" x14ac:dyDescent="0.25">
      <c r="A90" s="288"/>
      <c r="B90" s="288" t="s">
        <v>437</v>
      </c>
      <c r="C90" s="276"/>
      <c r="D90" s="276"/>
      <c r="E90" s="276"/>
      <c r="F90" s="276"/>
      <c r="G90" s="276"/>
      <c r="H90" s="289"/>
      <c r="I90" s="295">
        <v>37</v>
      </c>
      <c r="J90" s="323"/>
      <c r="K90" s="388"/>
      <c r="L90" s="344" t="s">
        <v>409</v>
      </c>
      <c r="M90" s="552">
        <v>37</v>
      </c>
      <c r="N90" s="537"/>
      <c r="O90" s="533"/>
      <c r="P90" s="537"/>
      <c r="Q90" s="537"/>
      <c r="R90" s="542">
        <f>I90/MAX(M90,1)</f>
        <v>1</v>
      </c>
      <c r="T90" s="342"/>
      <c r="U90" s="543"/>
      <c r="V90" s="543"/>
      <c r="W90" s="544"/>
      <c r="X90" s="544"/>
      <c r="Y90" s="544"/>
      <c r="Z90" s="544"/>
      <c r="AA90" s="544"/>
      <c r="AB90" s="544"/>
      <c r="AC90" s="544"/>
      <c r="AD90" s="544"/>
      <c r="AK90" s="334"/>
      <c r="AL90" s="334"/>
    </row>
    <row r="91" spans="1:41" ht="3.75" customHeight="1" x14ac:dyDescent="0.2">
      <c r="A91" s="288"/>
      <c r="B91" s="32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692" t="s">
        <v>767</v>
      </c>
      <c r="P91" s="276"/>
      <c r="Q91" s="276"/>
      <c r="R91" s="276"/>
      <c r="S91" s="276"/>
      <c r="T91" s="276"/>
      <c r="U91" s="276"/>
      <c r="V91" s="276"/>
      <c r="W91" s="317"/>
      <c r="X91" s="317"/>
      <c r="Y91" s="317"/>
      <c r="Z91" s="317"/>
      <c r="AA91" s="317"/>
      <c r="AB91" s="317"/>
      <c r="AC91" s="317"/>
      <c r="AD91" s="317"/>
      <c r="AF91" s="414"/>
      <c r="AG91" s="410"/>
      <c r="AH91" s="410"/>
      <c r="AI91" s="410"/>
      <c r="AJ91" s="410"/>
      <c r="AK91" s="337"/>
      <c r="AL91" s="337"/>
    </row>
    <row r="92" spans="1:41" ht="12.75" hidden="1" customHeight="1" x14ac:dyDescent="0.25">
      <c r="A92" s="288"/>
      <c r="B92" s="327"/>
      <c r="C92" s="285"/>
      <c r="D92" s="285"/>
      <c r="E92" s="285"/>
      <c r="F92" s="285"/>
      <c r="G92" s="285"/>
      <c r="H92" s="285"/>
      <c r="I92" s="290">
        <f>+IF(+Y95=7101,4,+IF(+Y95=7001,3,+IF(+Y95=7021,3,+IF(+Y95=3101,1,0))))</f>
        <v>0</v>
      </c>
      <c r="J92" s="285"/>
      <c r="K92" s="285"/>
      <c r="L92" s="523">
        <f>+IF(+I92=0,4,+(IF(+I92=1,7,+IF(+I92=3,14,+IF(+I92=4,18,4)))))</f>
        <v>4</v>
      </c>
      <c r="M92" s="290">
        <f>+IF(+I92=0,2,+(IF(+I92=1,6,+IF(+I92=3,12,+IF(+I92=4,16,2)))))</f>
        <v>2</v>
      </c>
      <c r="N92" s="290"/>
      <c r="O92" s="693"/>
      <c r="P92" s="290"/>
      <c r="Q92" s="290"/>
      <c r="T92" s="342"/>
      <c r="V92" s="359"/>
      <c r="W92" s="317"/>
      <c r="X92" s="317"/>
      <c r="Y92" s="317"/>
      <c r="Z92" s="317"/>
      <c r="AA92" s="317"/>
      <c r="AB92" s="317"/>
      <c r="AC92" s="317"/>
      <c r="AD92" s="317"/>
      <c r="AF92" s="414"/>
      <c r="AG92" s="410"/>
      <c r="AH92" s="410"/>
      <c r="AI92" s="410"/>
      <c r="AJ92" s="410"/>
      <c r="AK92" s="337"/>
      <c r="AL92" s="337"/>
    </row>
    <row r="93" spans="1:41" ht="12.75" customHeight="1" x14ac:dyDescent="0.25">
      <c r="A93" s="288"/>
      <c r="B93" s="281" t="s">
        <v>269</v>
      </c>
      <c r="C93" s="285"/>
      <c r="D93" s="285"/>
      <c r="E93" s="285"/>
      <c r="F93" s="285"/>
      <c r="G93" s="285"/>
      <c r="H93" s="286"/>
      <c r="I93" s="295"/>
      <c r="J93" s="307" t="s">
        <v>388</v>
      </c>
      <c r="K93" s="389"/>
      <c r="L93" s="446" t="s">
        <v>399</v>
      </c>
      <c r="M93" s="315">
        <f>VLOOKUP(+I92,TabelPctReg,2)</f>
        <v>65.337800000000001</v>
      </c>
      <c r="N93" s="315"/>
      <c r="O93" s="693"/>
      <c r="P93" s="315"/>
      <c r="Q93" s="315"/>
      <c r="U93" s="325"/>
      <c r="V93" s="325"/>
      <c r="W93" s="667"/>
      <c r="X93" s="667"/>
      <c r="Y93" s="667"/>
      <c r="Z93" s="667"/>
      <c r="AA93" s="667"/>
      <c r="AB93" s="667"/>
      <c r="AC93" s="667"/>
      <c r="AD93" s="667"/>
      <c r="AK93" s="334"/>
      <c r="AL93" s="334"/>
    </row>
    <row r="94" spans="1:41" ht="12.75" customHeight="1" x14ac:dyDescent="0.25">
      <c r="O94" s="693"/>
      <c r="S94" s="333"/>
      <c r="T94" s="360" t="s">
        <v>763</v>
      </c>
      <c r="U94" s="333"/>
      <c r="V94" s="325"/>
      <c r="W94" s="325"/>
      <c r="X94" s="325"/>
      <c r="Y94" s="325"/>
      <c r="Z94" s="325"/>
      <c r="AA94" s="325"/>
      <c r="AB94" s="325"/>
      <c r="AC94" s="325"/>
      <c r="AD94" s="325"/>
      <c r="AK94" s="334"/>
      <c r="AL94" s="334"/>
    </row>
    <row r="95" spans="1:41" ht="11.25" customHeight="1" x14ac:dyDescent="0.25">
      <c r="A95" s="541"/>
      <c r="B95" s="541"/>
      <c r="C95" s="541"/>
      <c r="D95" s="541"/>
      <c r="E95" s="541"/>
      <c r="F95" s="541"/>
      <c r="G95" s="541"/>
      <c r="H95" s="541"/>
      <c r="I95" s="305" t="s">
        <v>161</v>
      </c>
      <c r="J95" s="305" t="s">
        <v>21</v>
      </c>
      <c r="K95" s="305"/>
      <c r="L95" s="305" t="s">
        <v>233</v>
      </c>
      <c r="M95" s="318" t="s">
        <v>234</v>
      </c>
      <c r="N95" s="318"/>
      <c r="O95" s="693"/>
      <c r="P95" s="318"/>
      <c r="Q95" s="318"/>
      <c r="R95" s="280"/>
      <c r="S95" s="333"/>
      <c r="T95" s="317"/>
      <c r="U95" s="317"/>
      <c r="V95" s="316"/>
      <c r="W95" s="316"/>
      <c r="X95" s="316"/>
      <c r="Y95" s="661"/>
      <c r="Z95" s="662"/>
      <c r="AA95" s="662"/>
      <c r="AB95" s="662"/>
      <c r="AC95" s="663"/>
      <c r="AD95" s="325"/>
      <c r="AF95" s="414"/>
      <c r="AG95" s="409"/>
      <c r="AH95" s="409"/>
      <c r="AI95" s="409"/>
      <c r="AJ95" s="409"/>
      <c r="AK95" s="335"/>
      <c r="AL95" s="335"/>
    </row>
    <row r="96" spans="1:41" ht="11.25" customHeight="1" x14ac:dyDescent="0.2">
      <c r="A96" s="281"/>
      <c r="B96" s="288"/>
      <c r="C96" s="288"/>
      <c r="D96" s="288"/>
      <c r="E96" s="288"/>
      <c r="F96" s="288"/>
      <c r="G96" s="288"/>
      <c r="H96" s="288"/>
      <c r="I96" s="305" t="s">
        <v>162</v>
      </c>
      <c r="J96" s="305" t="s">
        <v>122</v>
      </c>
      <c r="K96" s="305"/>
      <c r="L96" s="539">
        <f>Dato1-0</f>
        <v>46113</v>
      </c>
      <c r="M96" s="534">
        <f>Dato1-0</f>
        <v>46113</v>
      </c>
      <c r="N96" s="319"/>
      <c r="O96" s="693"/>
      <c r="P96" s="319"/>
      <c r="Q96" s="319"/>
      <c r="R96" s="280"/>
      <c r="T96" s="652" t="e">
        <f>+VLOOKUP(Y95,Vejledning!1:1048576,2,1)</f>
        <v>#N/A</v>
      </c>
      <c r="U96" s="652"/>
      <c r="V96" s="652"/>
      <c r="W96" s="652"/>
      <c r="X96" s="652"/>
      <c r="Y96" s="652"/>
      <c r="Z96" s="652"/>
      <c r="AA96" s="652"/>
      <c r="AB96" s="652"/>
      <c r="AC96" s="652"/>
      <c r="AF96" s="414"/>
      <c r="AG96" s="409"/>
      <c r="AH96" s="409"/>
      <c r="AI96" s="409"/>
      <c r="AJ96" s="409"/>
      <c r="AK96" s="335"/>
      <c r="AL96" s="335"/>
    </row>
    <row r="97" spans="1:38" ht="11.25" customHeight="1" x14ac:dyDescent="0.2">
      <c r="A97" s="276"/>
      <c r="I97" s="539">
        <f>VLOOKUP(I92,TabelPctReg,3)</f>
        <v>36616</v>
      </c>
      <c r="J97" s="305"/>
      <c r="K97" s="305"/>
      <c r="L97" s="539" t="s">
        <v>398</v>
      </c>
      <c r="M97" s="534" t="s">
        <v>398</v>
      </c>
      <c r="N97" s="319"/>
      <c r="O97" s="693"/>
      <c r="P97" s="319"/>
      <c r="Q97" s="319"/>
      <c r="R97" s="282"/>
      <c r="S97" s="309"/>
      <c r="T97" s="652"/>
      <c r="U97" s="652"/>
      <c r="V97" s="652"/>
      <c r="W97" s="652"/>
      <c r="X97" s="652"/>
      <c r="Y97" s="652"/>
      <c r="Z97" s="652"/>
      <c r="AA97" s="652"/>
      <c r="AB97" s="652"/>
      <c r="AC97" s="652"/>
      <c r="AD97" s="355"/>
      <c r="AF97" s="414"/>
      <c r="AG97" s="409"/>
      <c r="AH97" s="409"/>
      <c r="AI97" s="409"/>
      <c r="AJ97" s="409"/>
      <c r="AK97" s="335"/>
      <c r="AL97" s="335"/>
    </row>
    <row r="98" spans="1:38" ht="6.75" customHeight="1" x14ac:dyDescent="0.25">
      <c r="A98" s="276"/>
      <c r="I98" s="535"/>
      <c r="J98" s="302"/>
      <c r="K98" s="305"/>
      <c r="L98" s="540"/>
      <c r="M98" s="540"/>
      <c r="N98" s="282"/>
      <c r="O98" s="693"/>
      <c r="P98" s="282"/>
      <c r="Q98" s="282"/>
      <c r="R98" s="282"/>
      <c r="S98" s="341"/>
      <c r="T98" s="652"/>
      <c r="U98" s="652"/>
      <c r="V98" s="652"/>
      <c r="W98" s="652"/>
      <c r="X98" s="652"/>
      <c r="Y98" s="652"/>
      <c r="Z98" s="652"/>
      <c r="AA98" s="652"/>
      <c r="AB98" s="652"/>
      <c r="AC98" s="652"/>
      <c r="AD98" s="355"/>
      <c r="AF98" s="414"/>
      <c r="AG98" s="409"/>
      <c r="AH98" s="409"/>
      <c r="AI98" s="409"/>
      <c r="AJ98" s="409"/>
      <c r="AK98" s="335"/>
      <c r="AL98" s="335"/>
    </row>
    <row r="99" spans="1:38" ht="12.75" customHeight="1" x14ac:dyDescent="0.25">
      <c r="A99" s="288"/>
      <c r="B99" s="285" t="s">
        <v>390</v>
      </c>
      <c r="C99" s="285"/>
      <c r="D99" s="285"/>
      <c r="E99" s="285"/>
      <c r="F99" s="285"/>
      <c r="G99" s="285"/>
      <c r="H99" s="285"/>
      <c r="I99" s="382"/>
      <c r="J99" s="294"/>
      <c r="K99" s="305"/>
      <c r="L99" s="283">
        <f>ROUND(VLOOKUP(J99,TabelLøn,+L92,1)*R90,2)</f>
        <v>0</v>
      </c>
      <c r="M99" s="284">
        <f>L99*12</f>
        <v>0</v>
      </c>
      <c r="N99" s="293"/>
      <c r="O99" s="693"/>
      <c r="P99" s="293"/>
      <c r="Q99" s="293"/>
      <c r="S99" s="341"/>
      <c r="T99" s="652"/>
      <c r="U99" s="652"/>
      <c r="V99" s="652"/>
      <c r="W99" s="652"/>
      <c r="X99" s="652"/>
      <c r="Y99" s="652"/>
      <c r="Z99" s="652"/>
      <c r="AA99" s="652"/>
      <c r="AB99" s="652"/>
      <c r="AC99" s="652"/>
      <c r="AD99" s="355"/>
      <c r="AF99" s="414"/>
      <c r="AG99" s="409"/>
      <c r="AH99" s="409"/>
      <c r="AI99" s="409"/>
      <c r="AJ99" s="409"/>
      <c r="AK99" s="335"/>
      <c r="AL99" s="335"/>
    </row>
    <row r="100" spans="1:38" ht="12.75" customHeight="1" x14ac:dyDescent="0.25">
      <c r="A100" s="288"/>
      <c r="B100" s="285"/>
      <c r="C100" s="290" t="s">
        <v>389</v>
      </c>
      <c r="D100" s="285"/>
      <c r="E100" s="285"/>
      <c r="F100" s="285"/>
      <c r="G100" s="285"/>
      <c r="H100" s="286"/>
      <c r="I100" s="287"/>
      <c r="J100" s="391"/>
      <c r="K100" s="305"/>
      <c r="L100" s="283">
        <f>ROUND(I100/12*R90*((100+M93)/100),2)</f>
        <v>0</v>
      </c>
      <c r="M100" s="284">
        <f>L100*12</f>
        <v>0</v>
      </c>
      <c r="N100" s="293"/>
      <c r="O100" s="693"/>
      <c r="P100" s="276"/>
      <c r="Q100" s="293"/>
      <c r="S100" s="34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342"/>
      <c r="AK100" s="334"/>
      <c r="AL100" s="334"/>
    </row>
    <row r="101" spans="1:38" ht="6" customHeight="1" x14ac:dyDescent="0.25">
      <c r="A101" s="288"/>
      <c r="B101" s="288"/>
      <c r="C101" s="288"/>
      <c r="D101" s="288"/>
      <c r="E101" s="288"/>
      <c r="F101" s="288"/>
      <c r="G101" s="288"/>
      <c r="H101" s="288"/>
      <c r="I101" s="298"/>
      <c r="J101" s="280"/>
      <c r="K101" s="305"/>
      <c r="L101" s="298"/>
      <c r="M101" s="298"/>
      <c r="N101" s="288"/>
      <c r="O101" s="693"/>
      <c r="P101" s="288"/>
      <c r="Q101" s="288"/>
      <c r="R101" s="288"/>
      <c r="S101" s="640" t="s">
        <v>723</v>
      </c>
      <c r="T101" s="640"/>
      <c r="U101" s="640"/>
      <c r="V101" s="640"/>
      <c r="W101" s="640"/>
      <c r="X101" s="640"/>
      <c r="Y101" s="640"/>
      <c r="Z101" s="640"/>
      <c r="AA101" s="640"/>
      <c r="AB101" s="640"/>
      <c r="AC101" s="640"/>
      <c r="AD101" s="640"/>
      <c r="AK101" s="334"/>
      <c r="AL101" s="334"/>
    </row>
    <row r="102" spans="1:38" ht="12.75" customHeight="1" x14ac:dyDescent="0.25">
      <c r="A102" s="288"/>
      <c r="B102" s="297" t="s">
        <v>790</v>
      </c>
      <c r="C102" s="297"/>
      <c r="D102" s="297"/>
      <c r="E102" s="276"/>
      <c r="F102" s="276"/>
      <c r="G102" s="276"/>
      <c r="H102" s="276"/>
      <c r="I102" s="276"/>
      <c r="J102" s="280"/>
      <c r="K102" s="305"/>
      <c r="L102" s="276"/>
      <c r="M102" s="276"/>
      <c r="N102" s="276"/>
      <c r="O102" s="693"/>
      <c r="P102" s="276"/>
      <c r="Q102" s="276"/>
      <c r="R102" s="276"/>
      <c r="S102" s="640"/>
      <c r="T102" s="640"/>
      <c r="U102" s="640"/>
      <c r="V102" s="640"/>
      <c r="W102" s="640"/>
      <c r="X102" s="640"/>
      <c r="Y102" s="640"/>
      <c r="Z102" s="640"/>
      <c r="AA102" s="640"/>
      <c r="AB102" s="640"/>
      <c r="AC102" s="640"/>
      <c r="AD102" s="640"/>
      <c r="AK102" s="334"/>
      <c r="AL102" s="334"/>
    </row>
    <row r="103" spans="1:38" ht="6" customHeight="1" x14ac:dyDescent="0.25">
      <c r="A103" s="288"/>
      <c r="B103" s="276"/>
      <c r="C103" s="299" t="s">
        <v>387</v>
      </c>
      <c r="K103" s="305"/>
      <c r="O103" s="69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K103" s="334"/>
      <c r="AL103" s="334"/>
    </row>
    <row r="104" spans="1:38" ht="12.75" customHeight="1" x14ac:dyDescent="0.25">
      <c r="A104" s="288"/>
      <c r="B104" s="276"/>
      <c r="C104" s="277" t="s">
        <v>736</v>
      </c>
      <c r="D104" s="276"/>
      <c r="E104" s="276"/>
      <c r="F104" s="276"/>
      <c r="G104" s="276"/>
      <c r="H104" s="276"/>
      <c r="I104" s="382"/>
      <c r="J104" s="294"/>
      <c r="K104" s="305"/>
      <c r="L104" s="283">
        <f>ROUND((VLOOKUP(+J99+J104,TabelLøn,+L92,1)-VLOOKUP(J99,TabelLøn,+L92,1))*R90,2)</f>
        <v>0</v>
      </c>
      <c r="M104" s="284">
        <f>L104*12</f>
        <v>0</v>
      </c>
      <c r="N104" s="671" t="s">
        <v>768</v>
      </c>
      <c r="O104" s="672"/>
      <c r="P104" s="672"/>
      <c r="Q104" s="672"/>
      <c r="R104" s="673"/>
      <c r="S104" s="632" t="s">
        <v>7</v>
      </c>
      <c r="T104" s="633"/>
      <c r="U104" s="633"/>
      <c r="V104" s="633"/>
      <c r="W104" s="633"/>
      <c r="X104" s="633"/>
      <c r="Y104" s="633"/>
      <c r="Z104" s="633"/>
      <c r="AA104" s="633"/>
      <c r="AB104" s="633"/>
      <c r="AC104" s="633"/>
      <c r="AD104" s="634"/>
      <c r="AK104" s="334"/>
      <c r="AL104" s="334"/>
    </row>
    <row r="105" spans="1:38" ht="12.75" customHeight="1" x14ac:dyDescent="0.25">
      <c r="A105" s="288"/>
      <c r="B105" s="276"/>
      <c r="C105" s="277" t="s">
        <v>738</v>
      </c>
      <c r="D105" s="276"/>
      <c r="E105" s="276"/>
      <c r="F105" s="276"/>
      <c r="G105" s="276"/>
      <c r="H105" s="289"/>
      <c r="I105" s="287"/>
      <c r="J105" s="386"/>
      <c r="K105" s="305"/>
      <c r="L105" s="283">
        <f>IF(P105=1,ROUND(I105/12*BeskGradNyLøn1*(1+PctRegNyLøn%),2),(ROUND((1+PctRegNyLøn%)*I105/12,2)))</f>
        <v>0</v>
      </c>
      <c r="M105" s="284">
        <f>L105*12</f>
        <v>0</v>
      </c>
      <c r="N105" s="293"/>
      <c r="O105" s="532"/>
      <c r="P105" s="528">
        <f t="shared" ref="P105" si="12">IF(O105="x",0,1)</f>
        <v>1</v>
      </c>
      <c r="Q105" s="528"/>
      <c r="S105" s="632"/>
      <c r="T105" s="633"/>
      <c r="U105" s="633"/>
      <c r="V105" s="633"/>
      <c r="W105" s="633"/>
      <c r="X105" s="633"/>
      <c r="Y105" s="633"/>
      <c r="Z105" s="633"/>
      <c r="AA105" s="633"/>
      <c r="AB105" s="633"/>
      <c r="AC105" s="633"/>
      <c r="AD105" s="634"/>
      <c r="AK105" s="334"/>
      <c r="AL105" s="334"/>
    </row>
    <row r="106" spans="1:38" ht="6" customHeight="1" x14ac:dyDescent="0.25">
      <c r="A106" s="288"/>
      <c r="B106" s="276"/>
      <c r="C106" s="299" t="s">
        <v>387</v>
      </c>
      <c r="K106" s="305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K106" s="334"/>
      <c r="AL106" s="334"/>
    </row>
    <row r="107" spans="1:38" ht="12.75" customHeight="1" x14ac:dyDescent="0.25">
      <c r="A107" s="288"/>
      <c r="B107" s="276"/>
      <c r="C107" s="277" t="s">
        <v>392</v>
      </c>
      <c r="D107" s="276"/>
      <c r="E107" s="276"/>
      <c r="F107" s="276"/>
      <c r="G107" s="276"/>
      <c r="H107" s="276"/>
      <c r="I107" s="383"/>
      <c r="J107" s="294"/>
      <c r="K107" s="305"/>
      <c r="L107" s="283">
        <f>ROUND((VLOOKUP($J$99+J104+J107,TabelLøn,+L92,1)-VLOOKUP($J$99+J104,TabelLøn,+L92,1))*R90,2)</f>
        <v>0</v>
      </c>
      <c r="M107" s="284">
        <f t="shared" ref="M107:M114" si="13">L107*12</f>
        <v>0</v>
      </c>
      <c r="N107" s="293"/>
      <c r="O107" s="293"/>
      <c r="P107" s="293"/>
      <c r="Q107" s="293"/>
      <c r="S107" s="632"/>
      <c r="T107" s="633"/>
      <c r="U107" s="633"/>
      <c r="V107" s="633"/>
      <c r="W107" s="633"/>
      <c r="X107" s="633"/>
      <c r="Y107" s="633"/>
      <c r="Z107" s="633"/>
      <c r="AA107" s="633"/>
      <c r="AB107" s="633"/>
      <c r="AC107" s="633"/>
      <c r="AD107" s="634"/>
      <c r="AK107" s="334"/>
      <c r="AL107" s="334"/>
    </row>
    <row r="108" spans="1:38" ht="12.75" customHeight="1" x14ac:dyDescent="0.25">
      <c r="A108" s="288"/>
      <c r="B108" s="276"/>
      <c r="C108" s="277" t="s">
        <v>392</v>
      </c>
      <c r="D108" s="276"/>
      <c r="E108" s="276"/>
      <c r="F108" s="276"/>
      <c r="G108" s="276"/>
      <c r="H108" s="276"/>
      <c r="I108" s="383"/>
      <c r="J108" s="294"/>
      <c r="K108" s="305"/>
      <c r="L108" s="283">
        <f>ROUND((VLOOKUP($J$99+J104+J107+J108,TabelLøn,+L92,1)-VLOOKUP($J$99+J104+J107,TabelLøn,+L92,1))*R90,2)</f>
        <v>0</v>
      </c>
      <c r="M108" s="284">
        <f t="shared" si="13"/>
        <v>0</v>
      </c>
      <c r="N108" s="293"/>
      <c r="O108" s="293"/>
      <c r="P108" s="293"/>
      <c r="Q108" s="293"/>
      <c r="S108" s="632"/>
      <c r="T108" s="633"/>
      <c r="U108" s="633"/>
      <c r="V108" s="633"/>
      <c r="W108" s="633"/>
      <c r="X108" s="633"/>
      <c r="Y108" s="633"/>
      <c r="Z108" s="633"/>
      <c r="AA108" s="633"/>
      <c r="AB108" s="633"/>
      <c r="AC108" s="633"/>
      <c r="AD108" s="634"/>
      <c r="AK108" s="334"/>
      <c r="AL108" s="334"/>
    </row>
    <row r="109" spans="1:38" ht="12.75" customHeight="1" x14ac:dyDescent="0.25">
      <c r="A109" s="288"/>
      <c r="B109" s="276"/>
      <c r="C109" s="277" t="s">
        <v>392</v>
      </c>
      <c r="D109" s="276"/>
      <c r="E109" s="276"/>
      <c r="F109" s="276"/>
      <c r="G109" s="276"/>
      <c r="H109" s="276"/>
      <c r="I109" s="383"/>
      <c r="J109" s="294"/>
      <c r="K109" s="305"/>
      <c r="L109" s="283">
        <f>ROUND((VLOOKUP($J$99+J104+J107+J108+J109,TabelLøn,+L92,1)-VLOOKUP($J$99+J104+J107+J108,TabelLøn,+L92,1))*R90,2)</f>
        <v>0</v>
      </c>
      <c r="M109" s="284">
        <f t="shared" si="13"/>
        <v>0</v>
      </c>
      <c r="N109" s="293"/>
      <c r="O109" s="293"/>
      <c r="P109" s="293"/>
      <c r="Q109" s="293"/>
      <c r="S109" s="632"/>
      <c r="T109" s="633"/>
      <c r="U109" s="633"/>
      <c r="V109" s="633"/>
      <c r="W109" s="633"/>
      <c r="X109" s="633"/>
      <c r="Y109" s="633"/>
      <c r="Z109" s="633"/>
      <c r="AA109" s="633"/>
      <c r="AB109" s="633"/>
      <c r="AC109" s="633"/>
      <c r="AD109" s="634"/>
      <c r="AK109" s="334"/>
      <c r="AL109" s="334"/>
    </row>
    <row r="110" spans="1:38" ht="12.75" hidden="1" customHeight="1" x14ac:dyDescent="0.25">
      <c r="A110" s="288"/>
      <c r="B110" s="276"/>
      <c r="C110" s="277" t="s">
        <v>392</v>
      </c>
      <c r="D110" s="276"/>
      <c r="E110" s="276"/>
      <c r="F110" s="276"/>
      <c r="G110" s="276"/>
      <c r="H110" s="276"/>
      <c r="I110" s="382"/>
      <c r="J110" s="294"/>
      <c r="K110" s="305"/>
      <c r="L110" s="283">
        <f>ROUND((VLOOKUP($J$99+J104+J107+J108+J109+J110,TabelLøn,+L92,1)-VLOOKUP($J$99+J104+J107+J108+J109,TabelLøn,+L92,1))*R90,2)</f>
        <v>0</v>
      </c>
      <c r="M110" s="284">
        <f t="shared" si="13"/>
        <v>0</v>
      </c>
      <c r="N110" s="293"/>
      <c r="O110" s="293"/>
      <c r="P110" s="293"/>
      <c r="Q110" s="293"/>
      <c r="S110" s="632"/>
      <c r="T110" s="633"/>
      <c r="U110" s="633"/>
      <c r="V110" s="633"/>
      <c r="W110" s="633"/>
      <c r="X110" s="633"/>
      <c r="Y110" s="633"/>
      <c r="Z110" s="633"/>
      <c r="AA110" s="633"/>
      <c r="AB110" s="633"/>
      <c r="AC110" s="633"/>
      <c r="AD110" s="634"/>
      <c r="AK110" s="334"/>
      <c r="AL110" s="334"/>
    </row>
    <row r="111" spans="1:38" ht="12.75" hidden="1" customHeight="1" x14ac:dyDescent="0.25">
      <c r="A111" s="288"/>
      <c r="B111" s="276"/>
      <c r="C111" s="277" t="s">
        <v>393</v>
      </c>
      <c r="D111" s="276"/>
      <c r="E111" s="276"/>
      <c r="F111" s="276"/>
      <c r="G111" s="276"/>
      <c r="H111" s="289"/>
      <c r="I111" s="287"/>
      <c r="J111" s="384"/>
      <c r="K111" s="305"/>
      <c r="L111" s="283">
        <f>IF(P111=1,ROUND(I111/12*BeskGradNyLøn1*(1+PctRegNyLøn%),2),(ROUND((1+PctRegNyLøn%)*I111/12,2)))</f>
        <v>0</v>
      </c>
      <c r="M111" s="284">
        <f t="shared" si="13"/>
        <v>0</v>
      </c>
      <c r="N111" s="293"/>
      <c r="O111" s="532"/>
      <c r="P111" s="528">
        <f t="shared" ref="P111" si="14">IF(O111="x",0,1)</f>
        <v>1</v>
      </c>
      <c r="Q111" s="293"/>
      <c r="S111" s="632"/>
      <c r="T111" s="633"/>
      <c r="U111" s="633"/>
      <c r="V111" s="633"/>
      <c r="W111" s="633"/>
      <c r="X111" s="633"/>
      <c r="Y111" s="633"/>
      <c r="Z111" s="633"/>
      <c r="AA111" s="633"/>
      <c r="AB111" s="633"/>
      <c r="AC111" s="633"/>
      <c r="AD111" s="634"/>
      <c r="AK111" s="334"/>
      <c r="AL111" s="334"/>
    </row>
    <row r="112" spans="1:38" ht="12.75" customHeight="1" x14ac:dyDescent="0.25">
      <c r="A112" s="288"/>
      <c r="B112" s="276"/>
      <c r="C112" s="277" t="s">
        <v>393</v>
      </c>
      <c r="D112" s="276"/>
      <c r="E112" s="276"/>
      <c r="F112" s="276"/>
      <c r="G112" s="276"/>
      <c r="H112" s="289"/>
      <c r="I112" s="287"/>
      <c r="J112" s="385"/>
      <c r="K112" s="305"/>
      <c r="L112" s="283">
        <f>IF(P112=1,ROUND(I112/12*BeskGradNyLøn1*(1+PctRegNyLøn%),2),(ROUND((1+PctRegNyLøn%)*I112/12,2)))</f>
        <v>0</v>
      </c>
      <c r="M112" s="284">
        <f t="shared" si="13"/>
        <v>0</v>
      </c>
      <c r="N112" s="293"/>
      <c r="O112" s="532"/>
      <c r="P112" s="528">
        <f t="shared" ref="P112:P114" si="15">IF(O112="x",0,1)</f>
        <v>1</v>
      </c>
      <c r="Q112" s="293"/>
      <c r="S112" s="632"/>
      <c r="T112" s="633"/>
      <c r="U112" s="633"/>
      <c r="V112" s="633"/>
      <c r="W112" s="633"/>
      <c r="X112" s="633"/>
      <c r="Y112" s="633"/>
      <c r="Z112" s="633"/>
      <c r="AA112" s="633"/>
      <c r="AB112" s="633"/>
      <c r="AC112" s="633"/>
      <c r="AD112" s="634"/>
      <c r="AK112" s="334"/>
      <c r="AL112" s="334"/>
    </row>
    <row r="113" spans="1:38" ht="12.75" customHeight="1" x14ac:dyDescent="0.25">
      <c r="A113" s="288"/>
      <c r="B113" s="276"/>
      <c r="C113" s="277" t="s">
        <v>393</v>
      </c>
      <c r="D113" s="276"/>
      <c r="E113" s="276"/>
      <c r="F113" s="276"/>
      <c r="G113" s="276"/>
      <c r="H113" s="289"/>
      <c r="I113" s="287"/>
      <c r="J113" s="385"/>
      <c r="K113" s="305"/>
      <c r="L113" s="283">
        <f>IF(P113=1,ROUND(I113/12*BeskGradNyLøn1*(1+PctRegNyLøn%),2),(ROUND((1+PctRegNyLøn%)*I113/12,2)))</f>
        <v>0</v>
      </c>
      <c r="M113" s="284">
        <f t="shared" si="13"/>
        <v>0</v>
      </c>
      <c r="N113" s="293"/>
      <c r="O113" s="532"/>
      <c r="P113" s="528">
        <f t="shared" si="15"/>
        <v>1</v>
      </c>
      <c r="Q113" s="293"/>
      <c r="S113" s="632"/>
      <c r="T113" s="633"/>
      <c r="U113" s="633"/>
      <c r="V113" s="633"/>
      <c r="W113" s="633"/>
      <c r="X113" s="633"/>
      <c r="Y113" s="633"/>
      <c r="Z113" s="633"/>
      <c r="AA113" s="633"/>
      <c r="AB113" s="633"/>
      <c r="AC113" s="633"/>
      <c r="AD113" s="634"/>
      <c r="AK113" s="334"/>
      <c r="AL113" s="334"/>
    </row>
    <row r="114" spans="1:38" ht="12.75" customHeight="1" x14ac:dyDescent="0.25">
      <c r="A114" s="288"/>
      <c r="B114" s="276"/>
      <c r="C114" s="277" t="s">
        <v>393</v>
      </c>
      <c r="D114" s="276"/>
      <c r="E114" s="276"/>
      <c r="F114" s="276"/>
      <c r="G114" s="276"/>
      <c r="H114" s="289"/>
      <c r="I114" s="287"/>
      <c r="J114" s="385"/>
      <c r="K114" s="305"/>
      <c r="L114" s="283">
        <f>IF(P114=1,ROUND(I114/12*BeskGradNyLøn1*(1+PctRegNyLøn%),2),(ROUND((1+PctRegNyLøn%)*I114/12,2)))</f>
        <v>0</v>
      </c>
      <c r="M114" s="284">
        <f t="shared" si="13"/>
        <v>0</v>
      </c>
      <c r="N114" s="293"/>
      <c r="O114" s="532"/>
      <c r="P114" s="528">
        <f t="shared" si="15"/>
        <v>1</v>
      </c>
      <c r="Q114" s="293"/>
      <c r="S114" s="632"/>
      <c r="T114" s="633"/>
      <c r="U114" s="633"/>
      <c r="V114" s="633"/>
      <c r="W114" s="633"/>
      <c r="X114" s="633"/>
      <c r="Y114" s="633"/>
      <c r="Z114" s="633"/>
      <c r="AA114" s="633"/>
      <c r="AB114" s="633"/>
      <c r="AC114" s="633"/>
      <c r="AD114" s="634"/>
      <c r="AK114" s="334"/>
      <c r="AL114" s="334"/>
    </row>
    <row r="115" spans="1:38" ht="6" customHeight="1" x14ac:dyDescent="0.25">
      <c r="A115" s="288"/>
      <c r="B115" s="276"/>
      <c r="K115" s="305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K115" s="334"/>
      <c r="AL115" s="334"/>
    </row>
    <row r="116" spans="1:38" ht="12.75" customHeight="1" x14ac:dyDescent="0.25">
      <c r="A116" s="288"/>
      <c r="B116" s="276"/>
      <c r="C116" s="277" t="s">
        <v>402</v>
      </c>
      <c r="D116" s="276"/>
      <c r="E116" s="276"/>
      <c r="F116" s="276"/>
      <c r="G116" s="276"/>
      <c r="H116" s="289"/>
      <c r="I116" s="287"/>
      <c r="J116" s="385"/>
      <c r="K116" s="305"/>
      <c r="L116" s="283">
        <f>IF(P116=1,ROUND(I116/12*BeskGradNyLøn1*(1+PctRegNyLøn%),2),(ROUND((1+PctRegNyLøn%)*I116/12,2)))</f>
        <v>0</v>
      </c>
      <c r="M116" s="284">
        <f>L116*12</f>
        <v>0</v>
      </c>
      <c r="N116" s="293"/>
      <c r="O116" s="532"/>
      <c r="P116" s="528">
        <f t="shared" ref="P116" si="16">IF(O116="x",0,1)</f>
        <v>1</v>
      </c>
      <c r="Q116" s="293"/>
      <c r="S116" s="632"/>
      <c r="T116" s="633"/>
      <c r="U116" s="633"/>
      <c r="V116" s="633"/>
      <c r="W116" s="633"/>
      <c r="X116" s="633"/>
      <c r="Y116" s="633"/>
      <c r="Z116" s="633"/>
      <c r="AA116" s="633"/>
      <c r="AB116" s="633"/>
      <c r="AC116" s="633"/>
      <c r="AD116" s="634"/>
      <c r="AK116" s="334"/>
      <c r="AL116" s="334"/>
    </row>
    <row r="117" spans="1:38" ht="12.75" customHeight="1" x14ac:dyDescent="0.25">
      <c r="A117" s="288"/>
      <c r="B117" s="276"/>
      <c r="C117" s="277" t="s">
        <v>391</v>
      </c>
      <c r="D117" s="276"/>
      <c r="E117" s="276"/>
      <c r="F117" s="276"/>
      <c r="G117" s="276"/>
      <c r="H117" s="289"/>
      <c r="I117" s="287"/>
      <c r="J117" s="385"/>
      <c r="K117" s="305"/>
      <c r="L117" s="283">
        <f>IF(P117=1,ROUND(I117/12*BeskGradNyLøn1*(1+PctRegNyLøn%),2),(ROUND((1+PctRegNyLøn%)*I117/12,2)))</f>
        <v>0</v>
      </c>
      <c r="M117" s="284">
        <f>L117*12</f>
        <v>0</v>
      </c>
      <c r="N117" s="293"/>
      <c r="O117" s="532"/>
      <c r="P117" s="528">
        <f t="shared" ref="P117" si="17">IF(O117="x",0,1)</f>
        <v>1</v>
      </c>
      <c r="Q117" s="293"/>
      <c r="S117" s="632"/>
      <c r="T117" s="633"/>
      <c r="U117" s="633"/>
      <c r="V117" s="633"/>
      <c r="W117" s="633"/>
      <c r="X117" s="633"/>
      <c r="Y117" s="633"/>
      <c r="Z117" s="633"/>
      <c r="AA117" s="633"/>
      <c r="AB117" s="633"/>
      <c r="AC117" s="633"/>
      <c r="AD117" s="634"/>
      <c r="AK117" s="334"/>
      <c r="AL117" s="334"/>
    </row>
    <row r="118" spans="1:38" ht="6" customHeight="1" x14ac:dyDescent="0.25">
      <c r="A118" s="288"/>
      <c r="B118" s="276"/>
      <c r="C118" s="299" t="s">
        <v>387</v>
      </c>
      <c r="K118" s="305"/>
      <c r="M118" s="686" t="s">
        <v>761</v>
      </c>
      <c r="N118" s="686"/>
      <c r="O118" s="686"/>
      <c r="P118" s="686"/>
      <c r="Q118" s="686"/>
      <c r="R118" s="686"/>
      <c r="S118" s="686"/>
      <c r="T118" s="686"/>
      <c r="U118" s="686"/>
      <c r="V118" s="686"/>
      <c r="W118" s="686"/>
      <c r="X118" s="686"/>
      <c r="Y118" s="686"/>
      <c r="Z118" s="686"/>
      <c r="AA118" s="686"/>
      <c r="AB118" s="686"/>
      <c r="AC118" s="686"/>
      <c r="AD118" s="686"/>
      <c r="AE118" s="507"/>
      <c r="AK118" s="334"/>
      <c r="AL118" s="334"/>
    </row>
    <row r="119" spans="1:38" ht="12.75" customHeight="1" x14ac:dyDescent="0.25">
      <c r="A119" s="288"/>
      <c r="B119" s="297" t="s">
        <v>145</v>
      </c>
      <c r="C119" s="276"/>
      <c r="D119" s="276"/>
      <c r="E119" s="276"/>
      <c r="F119" s="276"/>
      <c r="G119" s="276"/>
      <c r="H119" s="276"/>
      <c r="I119" s="276"/>
      <c r="J119" s="280"/>
      <c r="K119" s="305"/>
      <c r="L119" s="276"/>
      <c r="M119" s="686"/>
      <c r="N119" s="686"/>
      <c r="O119" s="686"/>
      <c r="P119" s="686"/>
      <c r="Q119" s="686"/>
      <c r="R119" s="686"/>
      <c r="S119" s="686"/>
      <c r="T119" s="686"/>
      <c r="U119" s="686"/>
      <c r="V119" s="686"/>
      <c r="W119" s="686"/>
      <c r="X119" s="686"/>
      <c r="Y119" s="686"/>
      <c r="Z119" s="686"/>
      <c r="AA119" s="686"/>
      <c r="AB119" s="686"/>
      <c r="AC119" s="686"/>
      <c r="AD119" s="686"/>
      <c r="AE119" s="507"/>
      <c r="AK119" s="334"/>
      <c r="AL119" s="334"/>
    </row>
    <row r="120" spans="1:38" ht="6" customHeight="1" x14ac:dyDescent="0.25">
      <c r="A120" s="288"/>
      <c r="B120" s="276"/>
      <c r="C120" s="299" t="s">
        <v>387</v>
      </c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K120" s="334"/>
      <c r="AL120" s="334"/>
    </row>
    <row r="121" spans="1:38" ht="12.75" customHeight="1" x14ac:dyDescent="0.25">
      <c r="A121" s="288"/>
      <c r="B121" s="276"/>
      <c r="C121" s="277" t="s">
        <v>737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ROUND((VLOOKUP($J$99+J104+J107+J108+J109+J110+J121,TabelLøn,+L92,1)-VLOOKUP($J$99+J104+J107+J108+J109+J110,TabelLøn,+L92,1))*R90,2)</f>
        <v>0</v>
      </c>
      <c r="M121" s="284">
        <f t="shared" ref="M121:M126" si="18">L121*12</f>
        <v>0</v>
      </c>
      <c r="N121" s="293"/>
      <c r="O121" s="293"/>
      <c r="P121" s="293"/>
      <c r="Q121" s="293"/>
      <c r="S121" s="632"/>
      <c r="T121" s="633"/>
      <c r="U121" s="633"/>
      <c r="V121" s="633"/>
      <c r="W121" s="633"/>
      <c r="X121" s="633"/>
      <c r="Y121" s="633"/>
      <c r="Z121" s="633"/>
      <c r="AA121" s="633"/>
      <c r="AB121" s="633"/>
      <c r="AC121" s="633"/>
      <c r="AD121" s="634"/>
      <c r="AK121" s="334"/>
      <c r="AL121" s="334"/>
    </row>
    <row r="122" spans="1:38" ht="12.75" customHeight="1" x14ac:dyDescent="0.25">
      <c r="A122" s="288"/>
      <c r="B122" s="276"/>
      <c r="C122" s="277" t="s">
        <v>737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ROUND((VLOOKUP($J$99+J104+J107+J108+J109+J110+J121+J122,TabelLøn,+L92,1)-VLOOKUP($J$99+J104+J107+J108+J109+J110+J121,TabelLøn,+L92,1))*R90,2)</f>
        <v>0</v>
      </c>
      <c r="M122" s="284">
        <f t="shared" si="18"/>
        <v>0</v>
      </c>
      <c r="N122" s="293"/>
      <c r="O122" s="293"/>
      <c r="P122" s="293"/>
      <c r="Q122" s="293"/>
      <c r="S122" s="632"/>
      <c r="T122" s="633"/>
      <c r="U122" s="633"/>
      <c r="V122" s="633"/>
      <c r="W122" s="633"/>
      <c r="X122" s="633"/>
      <c r="Y122" s="633"/>
      <c r="Z122" s="633"/>
      <c r="AA122" s="633"/>
      <c r="AB122" s="633"/>
      <c r="AC122" s="633"/>
      <c r="AD122" s="634"/>
      <c r="AK122" s="334"/>
      <c r="AL122" s="334"/>
    </row>
    <row r="123" spans="1:38" ht="12.75" customHeight="1" x14ac:dyDescent="0.25">
      <c r="A123" s="288"/>
      <c r="B123" s="276"/>
      <c r="C123" s="277" t="s">
        <v>737</v>
      </c>
      <c r="D123" s="276"/>
      <c r="E123" s="276"/>
      <c r="F123" s="276"/>
      <c r="G123" s="276"/>
      <c r="H123" s="276"/>
      <c r="I123" s="382"/>
      <c r="J123" s="294"/>
      <c r="K123" s="305"/>
      <c r="L123" s="283">
        <f>ROUND((VLOOKUP($J$99+J104+J107+J108+J109+J110+J121+J122+J123,TabelLøn,+L92,1)-VLOOKUP($J$99+J104+J107+J108+J109+J110+J121+J122,TabelLøn,+L92,1))*R90,2)</f>
        <v>0</v>
      </c>
      <c r="M123" s="284">
        <f t="shared" si="18"/>
        <v>0</v>
      </c>
      <c r="N123" s="293"/>
      <c r="O123" s="293"/>
      <c r="P123" s="293"/>
      <c r="Q123" s="293"/>
      <c r="S123" s="632"/>
      <c r="T123" s="633"/>
      <c r="U123" s="633"/>
      <c r="V123" s="633"/>
      <c r="W123" s="633"/>
      <c r="X123" s="633"/>
      <c r="Y123" s="633"/>
      <c r="Z123" s="633"/>
      <c r="AA123" s="633"/>
      <c r="AB123" s="633"/>
      <c r="AC123" s="633"/>
      <c r="AD123" s="634"/>
      <c r="AK123" s="334"/>
      <c r="AL123" s="334"/>
    </row>
    <row r="124" spans="1:38" ht="12.75" customHeight="1" x14ac:dyDescent="0.25">
      <c r="B124" s="276"/>
      <c r="C124" s="277" t="s">
        <v>739</v>
      </c>
      <c r="D124" s="276"/>
      <c r="E124" s="276"/>
      <c r="F124" s="276"/>
      <c r="G124" s="276"/>
      <c r="H124" s="289"/>
      <c r="I124" s="287"/>
      <c r="J124" s="386"/>
      <c r="K124" s="305"/>
      <c r="L124" s="283">
        <f>IF(P124=1,ROUND(I124/12*BeskGradNyLøn1*(1+PctRegNyLøn%),2),(ROUND((1+PctRegNyLøn%)*I124/12,2)))</f>
        <v>0</v>
      </c>
      <c r="M124" s="284">
        <f t="shared" si="18"/>
        <v>0</v>
      </c>
      <c r="N124" s="293"/>
      <c r="O124" s="532"/>
      <c r="P124" s="528">
        <f t="shared" ref="P124:P126" si="19">IF(O124="x",0,1)</f>
        <v>1</v>
      </c>
      <c r="Q124" s="293"/>
      <c r="S124" s="632"/>
      <c r="T124" s="633"/>
      <c r="U124" s="633"/>
      <c r="V124" s="633"/>
      <c r="W124" s="633"/>
      <c r="X124" s="633"/>
      <c r="Y124" s="633"/>
      <c r="Z124" s="633"/>
      <c r="AA124" s="633"/>
      <c r="AB124" s="633"/>
      <c r="AC124" s="633"/>
      <c r="AD124" s="634"/>
      <c r="AK124" s="334"/>
      <c r="AL124" s="334"/>
    </row>
    <row r="125" spans="1:38" ht="12.75" customHeight="1" x14ac:dyDescent="0.25">
      <c r="B125" s="276"/>
      <c r="C125" s="277" t="s">
        <v>739</v>
      </c>
      <c r="D125" s="276"/>
      <c r="E125" s="276"/>
      <c r="F125" s="276"/>
      <c r="G125" s="276"/>
      <c r="H125" s="289"/>
      <c r="I125" s="287"/>
      <c r="J125" s="387"/>
      <c r="K125" s="305"/>
      <c r="L125" s="283">
        <f>IF(P125=1,ROUND(I125/12*BeskGradNyLøn1*(1+PctRegNyLøn%),2),(ROUND((1+PctRegNyLøn%)*I125/12,2)))</f>
        <v>0</v>
      </c>
      <c r="M125" s="284">
        <f t="shared" si="18"/>
        <v>0</v>
      </c>
      <c r="N125" s="293"/>
      <c r="O125" s="532"/>
      <c r="P125" s="528">
        <f t="shared" si="19"/>
        <v>1</v>
      </c>
      <c r="Q125" s="293"/>
      <c r="S125" s="632"/>
      <c r="T125" s="633"/>
      <c r="U125" s="633"/>
      <c r="V125" s="633"/>
      <c r="W125" s="633"/>
      <c r="X125" s="633"/>
      <c r="Y125" s="633"/>
      <c r="Z125" s="633"/>
      <c r="AA125" s="633"/>
      <c r="AB125" s="633"/>
      <c r="AC125" s="633"/>
      <c r="AD125" s="634"/>
      <c r="AK125" s="334"/>
      <c r="AL125" s="334"/>
    </row>
    <row r="126" spans="1:38" ht="12.75" customHeight="1" x14ac:dyDescent="0.25">
      <c r="B126" s="276"/>
      <c r="C126" s="277" t="s">
        <v>739</v>
      </c>
      <c r="D126" s="276"/>
      <c r="E126" s="276"/>
      <c r="F126" s="276"/>
      <c r="G126" s="276"/>
      <c r="H126" s="289"/>
      <c r="I126" s="287"/>
      <c r="J126" s="387"/>
      <c r="K126" s="305"/>
      <c r="L126" s="283">
        <f>IF(P126=1,ROUND(I126/12*BeskGradNyLøn1*(1+PctRegNyLøn%),2),(ROUND((1+PctRegNyLøn%)*I126/12,2)))</f>
        <v>0</v>
      </c>
      <c r="M126" s="284">
        <f t="shared" si="18"/>
        <v>0</v>
      </c>
      <c r="N126" s="293"/>
      <c r="O126" s="532"/>
      <c r="P126" s="528">
        <f t="shared" si="19"/>
        <v>1</v>
      </c>
      <c r="Q126" s="293"/>
      <c r="S126" s="632"/>
      <c r="T126" s="633"/>
      <c r="U126" s="633"/>
      <c r="V126" s="633"/>
      <c r="W126" s="633"/>
      <c r="X126" s="633"/>
      <c r="Y126" s="633"/>
      <c r="Z126" s="633"/>
      <c r="AA126" s="633"/>
      <c r="AB126" s="633"/>
      <c r="AC126" s="633"/>
      <c r="AD126" s="634"/>
      <c r="AK126" s="334"/>
      <c r="AL126" s="334"/>
    </row>
    <row r="127" spans="1:38" ht="6" customHeight="1" x14ac:dyDescent="0.25">
      <c r="A127" s="288"/>
      <c r="B127" s="276"/>
      <c r="K127" s="305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K127" s="334"/>
      <c r="AL127" s="334"/>
    </row>
    <row r="128" spans="1:38" ht="12.75" customHeight="1" x14ac:dyDescent="0.25">
      <c r="A128" s="288"/>
      <c r="B128" s="276"/>
      <c r="C128" s="277" t="s">
        <v>400</v>
      </c>
      <c r="D128" s="276"/>
      <c r="E128" s="276"/>
      <c r="F128" s="276"/>
      <c r="G128" s="276"/>
      <c r="H128" s="276"/>
      <c r="I128" s="383"/>
      <c r="J128" s="294"/>
      <c r="K128" s="305"/>
      <c r="L128" s="283">
        <f>ROUND((VLOOKUP($J$99+J104+J107+J108+J109+J110+J121+J122+J123+J128,TabelLøn,+L92,1)-VLOOKUP($J$99+J104+J107+J108+J109+J110+J121+J122+J123,TabelLøn,+L92,1))*R90,2)</f>
        <v>0</v>
      </c>
      <c r="M128" s="284">
        <f t="shared" ref="M128:M137" si="20">L128*12</f>
        <v>0</v>
      </c>
      <c r="N128" s="293"/>
      <c r="O128" s="293"/>
      <c r="P128" s="293"/>
      <c r="Q128" s="293"/>
      <c r="S128" s="632"/>
      <c r="T128" s="633"/>
      <c r="U128" s="633"/>
      <c r="V128" s="633"/>
      <c r="W128" s="633"/>
      <c r="X128" s="633"/>
      <c r="Y128" s="633"/>
      <c r="Z128" s="633"/>
      <c r="AA128" s="633"/>
      <c r="AB128" s="633"/>
      <c r="AC128" s="633"/>
      <c r="AD128" s="634"/>
      <c r="AK128" s="334"/>
      <c r="AL128" s="334"/>
    </row>
    <row r="129" spans="1:38" ht="12.75" customHeight="1" x14ac:dyDescent="0.25">
      <c r="A129" s="288"/>
      <c r="B129" s="276"/>
      <c r="C129" s="277" t="s">
        <v>400</v>
      </c>
      <c r="D129" s="276"/>
      <c r="E129" s="276"/>
      <c r="F129" s="276"/>
      <c r="G129" s="276"/>
      <c r="H129" s="276"/>
      <c r="I129" s="383"/>
      <c r="J129" s="294"/>
      <c r="K129" s="305"/>
      <c r="L129" s="283">
        <f>ROUND((VLOOKUP($J$99+J104+J107+J108+J109+J110+J121+J122+J123+J128+J129,TabelLøn,+L92,1)-VLOOKUP($J$99+J104+J107+J108+J109+J110+J121+J122+J123+J128,TabelLøn,+L92,1))*R90,2)</f>
        <v>0</v>
      </c>
      <c r="M129" s="284">
        <f t="shared" si="20"/>
        <v>0</v>
      </c>
      <c r="N129" s="293"/>
      <c r="O129" s="293"/>
      <c r="P129" s="293"/>
      <c r="Q129" s="293"/>
      <c r="S129" s="632"/>
      <c r="T129" s="633"/>
      <c r="U129" s="633"/>
      <c r="V129" s="633"/>
      <c r="W129" s="633"/>
      <c r="X129" s="633"/>
      <c r="Y129" s="633"/>
      <c r="Z129" s="633"/>
      <c r="AA129" s="633"/>
      <c r="AB129" s="633"/>
      <c r="AC129" s="633"/>
      <c r="AD129" s="634"/>
      <c r="AK129" s="334"/>
      <c r="AL129" s="334"/>
    </row>
    <row r="130" spans="1:38" ht="12.75" customHeight="1" x14ac:dyDescent="0.25">
      <c r="A130" s="288"/>
      <c r="B130" s="276"/>
      <c r="C130" s="277" t="s">
        <v>400</v>
      </c>
      <c r="D130" s="276"/>
      <c r="E130" s="276"/>
      <c r="F130" s="276"/>
      <c r="G130" s="276"/>
      <c r="H130" s="276"/>
      <c r="I130" s="383"/>
      <c r="J130" s="294"/>
      <c r="K130" s="305"/>
      <c r="L130" s="283">
        <f>ROUND((VLOOKUP($J$99+J104+J107+J108+J109+J110+J121+J122+J123+J128+J129+J130,TabelLøn,+L92,1)-VLOOKUP($J$99+J104+J107+J108+J109+J110+J121+J122+J123+J128+J129,TabelLøn,+L92,1))*R90,2)</f>
        <v>0</v>
      </c>
      <c r="M130" s="284">
        <f t="shared" si="20"/>
        <v>0</v>
      </c>
      <c r="N130" s="293"/>
      <c r="O130" s="293"/>
      <c r="P130" s="293"/>
      <c r="Q130" s="293"/>
      <c r="S130" s="632"/>
      <c r="T130" s="633"/>
      <c r="U130" s="633"/>
      <c r="V130" s="633"/>
      <c r="W130" s="633"/>
      <c r="X130" s="633"/>
      <c r="Y130" s="633"/>
      <c r="Z130" s="633"/>
      <c r="AA130" s="633"/>
      <c r="AB130" s="633"/>
      <c r="AC130" s="633"/>
      <c r="AD130" s="634"/>
      <c r="AK130" s="334"/>
      <c r="AL130" s="334"/>
    </row>
    <row r="131" spans="1:38" ht="12.75" customHeight="1" x14ac:dyDescent="0.25">
      <c r="A131" s="288"/>
      <c r="B131" s="276"/>
      <c r="C131" s="277" t="s">
        <v>400</v>
      </c>
      <c r="D131" s="276"/>
      <c r="E131" s="276"/>
      <c r="F131" s="276"/>
      <c r="G131" s="276"/>
      <c r="H131" s="276"/>
      <c r="I131" s="383"/>
      <c r="J131" s="294"/>
      <c r="K131" s="305"/>
      <c r="L131" s="283">
        <f>ROUND((VLOOKUP($J$99+J104+J107+J108+J109+J110+J121+J122+J123+J128+J129+J130+J131,TabelLøn,+L92,1)-VLOOKUP($J$99+J104+J107+J108+J109+J110+J121+J122+J123+J128+J129+J130,TabelLøn,+L92,1))*R90,2)</f>
        <v>0</v>
      </c>
      <c r="M131" s="284">
        <f t="shared" si="20"/>
        <v>0</v>
      </c>
      <c r="N131" s="293"/>
      <c r="O131" s="293"/>
      <c r="P131" s="293"/>
      <c r="Q131" s="293"/>
      <c r="S131" s="545"/>
      <c r="T131" s="546"/>
      <c r="U131" s="546"/>
      <c r="V131" s="546"/>
      <c r="W131" s="546"/>
      <c r="X131" s="546"/>
      <c r="Y131" s="546"/>
      <c r="Z131" s="546"/>
      <c r="AA131" s="546"/>
      <c r="AB131" s="546"/>
      <c r="AC131" s="546"/>
      <c r="AD131" s="547"/>
      <c r="AK131" s="334"/>
      <c r="AL131" s="334"/>
    </row>
    <row r="132" spans="1:38" ht="12.75" customHeight="1" x14ac:dyDescent="0.25">
      <c r="A132" s="288"/>
      <c r="B132" s="276"/>
      <c r="C132" s="277" t="s">
        <v>400</v>
      </c>
      <c r="D132" s="276"/>
      <c r="E132" s="276"/>
      <c r="F132" s="276"/>
      <c r="G132" s="276"/>
      <c r="H132" s="276"/>
      <c r="I132" s="383"/>
      <c r="J132" s="294"/>
      <c r="K132" s="305"/>
      <c r="L132" s="283">
        <f>ROUND((VLOOKUP($J$99+J104+J107+J108+J109+J110+J121+J122+J123+J128+J129+J130+J131+J132,TabelLøn,+L92,1)-VLOOKUP($J$99+J104+J107+J108+J109+J110+J121+J122+J123+J128+J129+J130+J131,TabelLøn,+L92,1))*R90,2)</f>
        <v>0</v>
      </c>
      <c r="M132" s="284">
        <f t="shared" si="20"/>
        <v>0</v>
      </c>
      <c r="N132" s="293"/>
      <c r="O132" s="293"/>
      <c r="P132" s="293"/>
      <c r="Q132" s="293"/>
      <c r="S132" s="545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547"/>
      <c r="AK132" s="334"/>
      <c r="AL132" s="334"/>
    </row>
    <row r="133" spans="1:38" ht="12.75" customHeight="1" x14ac:dyDescent="0.25">
      <c r="A133" s="288"/>
      <c r="B133" s="276"/>
      <c r="C133" s="277" t="s">
        <v>400</v>
      </c>
      <c r="D133" s="276"/>
      <c r="E133" s="276"/>
      <c r="F133" s="276"/>
      <c r="G133" s="276"/>
      <c r="H133" s="276"/>
      <c r="I133" s="382"/>
      <c r="J133" s="294"/>
      <c r="K133" s="305"/>
      <c r="L133" s="283">
        <f>ROUND((VLOOKUP($J$99+J104+J107+J108+J109+J110+J121+J122+J123+J128+J129+J130+J131+J132+J133,TabelLøn,+L92,1)-VLOOKUP($J$99+J104+J107+J108+J109+J110+J121+J122+J123+J128+J129+J130+J131+J132,TabelLøn,+L92,1))*R90,2)</f>
        <v>0</v>
      </c>
      <c r="M133" s="284">
        <f t="shared" si="20"/>
        <v>0</v>
      </c>
      <c r="N133" s="293"/>
      <c r="O133" s="293"/>
      <c r="P133" s="293"/>
      <c r="Q133" s="293"/>
      <c r="S133" s="632"/>
      <c r="T133" s="633"/>
      <c r="U133" s="633"/>
      <c r="V133" s="633"/>
      <c r="W133" s="633"/>
      <c r="X133" s="633"/>
      <c r="Y133" s="633"/>
      <c r="Z133" s="633"/>
      <c r="AA133" s="633"/>
      <c r="AB133" s="633"/>
      <c r="AC133" s="633"/>
      <c r="AD133" s="634"/>
      <c r="AK133" s="334"/>
      <c r="AL133" s="334"/>
    </row>
    <row r="134" spans="1:38" ht="12.75" customHeight="1" x14ac:dyDescent="0.25">
      <c r="A134" s="288"/>
      <c r="B134" s="276"/>
      <c r="C134" s="277" t="s">
        <v>401</v>
      </c>
      <c r="D134" s="276"/>
      <c r="E134" s="276"/>
      <c r="F134" s="276"/>
      <c r="G134" s="276"/>
      <c r="H134" s="289"/>
      <c r="I134" s="287"/>
      <c r="J134" s="386"/>
      <c r="K134" s="305"/>
      <c r="L134" s="283">
        <f>IF(P134=1,ROUND(I134/12*BeskGradNyLøn1*(1+PctRegNyLøn%),2),(ROUND((1+PctRegNyLøn%)*I134/12,2)))</f>
        <v>0</v>
      </c>
      <c r="M134" s="284">
        <f t="shared" si="20"/>
        <v>0</v>
      </c>
      <c r="N134" s="293"/>
      <c r="O134" s="532"/>
      <c r="P134" s="528">
        <f t="shared" ref="P134:P137" si="21">IF(O134="x",0,1)</f>
        <v>1</v>
      </c>
      <c r="Q134" s="293"/>
      <c r="S134" s="632"/>
      <c r="T134" s="633"/>
      <c r="U134" s="633"/>
      <c r="V134" s="633"/>
      <c r="W134" s="633"/>
      <c r="X134" s="633"/>
      <c r="Y134" s="633"/>
      <c r="Z134" s="633"/>
      <c r="AA134" s="633"/>
      <c r="AB134" s="633"/>
      <c r="AC134" s="633"/>
      <c r="AD134" s="634"/>
      <c r="AK134" s="334"/>
      <c r="AL134" s="334"/>
    </row>
    <row r="135" spans="1:38" ht="12.75" customHeight="1" x14ac:dyDescent="0.25">
      <c r="A135" s="288"/>
      <c r="B135" s="276"/>
      <c r="C135" s="277" t="s">
        <v>401</v>
      </c>
      <c r="D135" s="276"/>
      <c r="E135" s="276"/>
      <c r="F135" s="276"/>
      <c r="G135" s="276"/>
      <c r="H135" s="289"/>
      <c r="I135" s="287"/>
      <c r="J135" s="387"/>
      <c r="K135" s="305"/>
      <c r="L135" s="283">
        <f>IF(P135=1,ROUND(I135/12*BeskGradNyLøn1*(1+PctRegNyLøn%),2),(ROUND((1+PctRegNyLøn%)*I135/12,2)))</f>
        <v>0</v>
      </c>
      <c r="M135" s="284">
        <f t="shared" si="20"/>
        <v>0</v>
      </c>
      <c r="N135" s="293"/>
      <c r="O135" s="532"/>
      <c r="P135" s="528">
        <f t="shared" si="21"/>
        <v>1</v>
      </c>
      <c r="Q135" s="293"/>
      <c r="S135" s="632"/>
      <c r="T135" s="633"/>
      <c r="U135" s="633"/>
      <c r="V135" s="633"/>
      <c r="W135" s="633"/>
      <c r="X135" s="633"/>
      <c r="Y135" s="633"/>
      <c r="Z135" s="633"/>
      <c r="AA135" s="633"/>
      <c r="AB135" s="633"/>
      <c r="AC135" s="633"/>
      <c r="AD135" s="634"/>
      <c r="AK135" s="334"/>
      <c r="AL135" s="334"/>
    </row>
    <row r="136" spans="1:38" ht="12.75" customHeight="1" x14ac:dyDescent="0.25">
      <c r="A136" s="288"/>
      <c r="B136" s="276"/>
      <c r="C136" s="277" t="s">
        <v>401</v>
      </c>
      <c r="D136" s="276"/>
      <c r="E136" s="276"/>
      <c r="F136" s="276"/>
      <c r="G136" s="276"/>
      <c r="H136" s="289"/>
      <c r="I136" s="287"/>
      <c r="J136" s="387"/>
      <c r="K136" s="305"/>
      <c r="L136" s="283">
        <f>IF(P136=1,ROUND(I136/12*BeskGradNyLøn1*(1+PctRegNyLøn%),2),(ROUND((1+PctRegNyLøn%)*I136/12,2)))</f>
        <v>0</v>
      </c>
      <c r="M136" s="284">
        <f t="shared" si="20"/>
        <v>0</v>
      </c>
      <c r="N136" s="293"/>
      <c r="O136" s="532"/>
      <c r="P136" s="528">
        <f t="shared" si="21"/>
        <v>1</v>
      </c>
      <c r="Q136" s="293"/>
      <c r="S136" s="632"/>
      <c r="T136" s="633"/>
      <c r="U136" s="633"/>
      <c r="V136" s="633"/>
      <c r="W136" s="633"/>
      <c r="X136" s="633"/>
      <c r="Y136" s="633"/>
      <c r="Z136" s="633"/>
      <c r="AA136" s="633"/>
      <c r="AB136" s="633"/>
      <c r="AC136" s="633"/>
      <c r="AD136" s="634"/>
      <c r="AK136" s="334"/>
      <c r="AL136" s="334"/>
    </row>
    <row r="137" spans="1:38" ht="12.75" customHeight="1" x14ac:dyDescent="0.25">
      <c r="A137" s="288"/>
      <c r="B137" s="276"/>
      <c r="C137" s="277" t="s">
        <v>401</v>
      </c>
      <c r="D137" s="276"/>
      <c r="E137" s="276"/>
      <c r="F137" s="276"/>
      <c r="G137" s="276"/>
      <c r="H137" s="289"/>
      <c r="I137" s="287"/>
      <c r="J137" s="387"/>
      <c r="K137" s="305"/>
      <c r="L137" s="283">
        <f>IF(P137=1,ROUND(I137/12*BeskGradNyLøn1*(1+PctRegNyLøn%),2),(ROUND((1+PctRegNyLøn%)*I137/12,2)))</f>
        <v>0</v>
      </c>
      <c r="M137" s="284">
        <f t="shared" si="20"/>
        <v>0</v>
      </c>
      <c r="N137" s="293"/>
      <c r="O137" s="532"/>
      <c r="P137" s="528">
        <f t="shared" si="21"/>
        <v>1</v>
      </c>
      <c r="Q137" s="293"/>
      <c r="S137" s="632"/>
      <c r="T137" s="633"/>
      <c r="U137" s="633"/>
      <c r="V137" s="633"/>
      <c r="W137" s="633"/>
      <c r="X137" s="633"/>
      <c r="Y137" s="633"/>
      <c r="Z137" s="633"/>
      <c r="AA137" s="633"/>
      <c r="AB137" s="633"/>
      <c r="AC137" s="633"/>
      <c r="AD137" s="634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K138" s="334"/>
      <c r="AL138" s="334"/>
    </row>
    <row r="139" spans="1:38" ht="12.75" customHeight="1" x14ac:dyDescent="0.25">
      <c r="A139" s="288"/>
      <c r="B139" s="277" t="s">
        <v>403</v>
      </c>
      <c r="C139" s="276"/>
      <c r="D139" s="276"/>
      <c r="E139" s="276"/>
      <c r="F139" s="276"/>
      <c r="G139" s="276"/>
      <c r="H139" s="289"/>
      <c r="I139" s="287"/>
      <c r="J139" s="294"/>
      <c r="K139" s="305"/>
      <c r="L139" s="283">
        <f>IF(P139=1,ROUND(I139/12*BeskGradNyLøn*(1+PctRegNyLøn%),2),(ROUND((1+PctRegNyLøn%)*I139/12,2)))+ROUND((VLOOKUP($J$99+J104+J107+J108+J109+J110+J121+J122+J123+J128+J129+J130+J133+J139,TabelLøn,+L92,1)-VLOOKUP($J$99+J104+J107+J108+J109+J110+J121+J122+J123+J128+J129+J130+J133,TabelLøn,+L92,1))*R90,2)</f>
        <v>0</v>
      </c>
      <c r="M139" s="284">
        <f>L139*12</f>
        <v>0</v>
      </c>
      <c r="N139" s="293"/>
      <c r="O139" s="532"/>
      <c r="P139" s="528">
        <f t="shared" ref="P139:P140" si="22">IF(O139="x",0,1)</f>
        <v>1</v>
      </c>
      <c r="Q139" s="29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K139" s="334"/>
      <c r="AL139" s="334"/>
    </row>
    <row r="140" spans="1:38" ht="12.75" customHeight="1" x14ac:dyDescent="0.25">
      <c r="A140" s="288"/>
      <c r="B140" s="277" t="s">
        <v>404</v>
      </c>
      <c r="C140" s="276"/>
      <c r="D140" s="276"/>
      <c r="E140" s="276"/>
      <c r="F140" s="276"/>
      <c r="G140" s="276"/>
      <c r="H140" s="289"/>
      <c r="I140" s="287"/>
      <c r="K140" s="305"/>
      <c r="L140" s="283">
        <f>IF(P140=1,ROUND(I140/12*BeskGradNyLøn*(1+PctRegNyLøn%),2),(ROUND((1+PctRegNyLøn%)*I140/12,2)))</f>
        <v>0</v>
      </c>
      <c r="M140" s="284">
        <f>L140*12</f>
        <v>0</v>
      </c>
      <c r="N140" s="293"/>
      <c r="O140" s="532"/>
      <c r="P140" s="528">
        <f t="shared" si="22"/>
        <v>1</v>
      </c>
      <c r="Q140" s="29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K140" s="334"/>
      <c r="AL140" s="334"/>
    </row>
    <row r="141" spans="1:38" ht="6" customHeight="1" x14ac:dyDescent="0.25">
      <c r="A141" s="288"/>
      <c r="B141" s="276"/>
      <c r="K141" s="305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K141" s="334"/>
      <c r="AL141" s="334"/>
    </row>
    <row r="142" spans="1:38" ht="12.75" customHeight="1" x14ac:dyDescent="0.25">
      <c r="A142" s="288"/>
      <c r="B142" s="277" t="s">
        <v>405</v>
      </c>
      <c r="C142" s="276"/>
      <c r="D142" s="276"/>
      <c r="E142" s="276"/>
      <c r="F142" s="276"/>
      <c r="G142" s="276"/>
      <c r="H142" s="289"/>
      <c r="I142" s="287"/>
      <c r="J142" s="387"/>
      <c r="K142" s="305"/>
      <c r="L142" s="283">
        <f>IF(P142=1,ROUND(I142/12*BeskGradNyLøn*(1+PctRegNyLøn%),2),(ROUND((1+PctRegNyLøn%)*I142/12,2)))</f>
        <v>0</v>
      </c>
      <c r="M142" s="284">
        <f>L142*12</f>
        <v>0</v>
      </c>
      <c r="N142" s="293"/>
      <c r="O142" s="532"/>
      <c r="P142" s="528">
        <f t="shared" ref="P142" si="23">IF(O142="x",0,1)</f>
        <v>1</v>
      </c>
      <c r="Q142" s="29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K142" s="334"/>
      <c r="AL142" s="334"/>
    </row>
    <row r="143" spans="1:38" ht="12.75" customHeight="1" x14ac:dyDescent="0.25">
      <c r="A143" s="288"/>
      <c r="B143" s="276"/>
      <c r="K143" s="305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K143" s="334"/>
      <c r="AL143" s="334"/>
    </row>
    <row r="144" spans="1:38" ht="12.75" customHeight="1" x14ac:dyDescent="0.25">
      <c r="A144" s="288"/>
      <c r="B144" s="276" t="s">
        <v>410</v>
      </c>
      <c r="C144" s="291"/>
      <c r="D144" s="291"/>
      <c r="E144" s="291"/>
      <c r="F144" s="291"/>
      <c r="G144" s="291"/>
      <c r="H144" s="292"/>
      <c r="I144" s="328">
        <f>SUM(I99:I142)</f>
        <v>0</v>
      </c>
      <c r="J144" s="329">
        <f>SUM(J99:J142)</f>
        <v>0</v>
      </c>
      <c r="K144" s="305"/>
      <c r="L144" s="312">
        <f>SUM(L99:L142)</f>
        <v>0</v>
      </c>
      <c r="M144" s="284">
        <f>SUM(M99:M142)</f>
        <v>0</v>
      </c>
      <c r="N144" s="293"/>
      <c r="O144" s="293"/>
      <c r="P144" s="293"/>
      <c r="Q144" s="293"/>
      <c r="U144" s="290"/>
      <c r="V144" s="290"/>
      <c r="AK144" s="334"/>
      <c r="AL144" s="334"/>
    </row>
    <row r="145" spans="1:38" ht="6" customHeight="1" x14ac:dyDescent="0.25">
      <c r="A145" s="288"/>
      <c r="B145" s="276"/>
      <c r="K145" s="305"/>
      <c r="S145" s="303"/>
      <c r="T145" s="303"/>
      <c r="U145" s="290"/>
      <c r="V145" s="290"/>
      <c r="W145" s="303"/>
      <c r="X145" s="303"/>
      <c r="Y145" s="303"/>
      <c r="Z145" s="303"/>
      <c r="AA145" s="303"/>
      <c r="AB145" s="303"/>
      <c r="AC145" s="303"/>
      <c r="AD145" s="303"/>
      <c r="AK145" s="334"/>
      <c r="AL145" s="334"/>
    </row>
    <row r="146" spans="1:38" ht="12.75" customHeight="1" x14ac:dyDescent="0.25">
      <c r="A146" s="288"/>
      <c r="B146" s="277" t="s">
        <v>411</v>
      </c>
      <c r="C146" s="277" t="s">
        <v>22</v>
      </c>
      <c r="D146" s="276"/>
      <c r="E146" s="276"/>
      <c r="F146" s="276"/>
      <c r="G146" s="276"/>
      <c r="H146" s="276"/>
      <c r="I146" s="310"/>
      <c r="K146" s="305"/>
      <c r="L146" s="283">
        <f>ROUND(VLOOKUP(J144,TabelLønninger,+M92,2)*I93/100/12*(I90/M90),2)+(+I93/100*(L100+L105+L111+L112+L113+L114+L124+L126+L125+L134+L135+L136+L137+L139+L142))</f>
        <v>0</v>
      </c>
      <c r="M146" s="284">
        <f>L146*12</f>
        <v>0</v>
      </c>
      <c r="N146" s="293"/>
      <c r="O146" s="293"/>
      <c r="P146" s="293"/>
      <c r="Q146" s="293"/>
      <c r="U146" s="290"/>
      <c r="V146" s="290"/>
      <c r="AK146" s="334"/>
      <c r="AL146" s="334"/>
    </row>
    <row r="147" spans="1:38" ht="12.75" customHeight="1" x14ac:dyDescent="0.25">
      <c r="A147" s="288"/>
      <c r="B147" s="276" t="s">
        <v>406</v>
      </c>
      <c r="D147" s="291"/>
      <c r="E147" s="291"/>
      <c r="F147" s="291"/>
      <c r="G147" s="291"/>
      <c r="H147" s="291"/>
      <c r="I147" s="310"/>
      <c r="J147" s="330"/>
      <c r="K147" s="311"/>
      <c r="L147" s="312">
        <f>SUM(L144:L146)</f>
        <v>0</v>
      </c>
      <c r="M147" s="313">
        <f>SUM(M144:M146)</f>
        <v>0</v>
      </c>
      <c r="N147" s="331"/>
      <c r="O147" s="331"/>
      <c r="P147" s="331"/>
      <c r="Q147" s="331"/>
      <c r="U147" s="293"/>
      <c r="V147" s="293"/>
      <c r="AK147" s="334"/>
      <c r="AL147" s="334"/>
    </row>
    <row r="148" spans="1:38" ht="12.75" customHeight="1" x14ac:dyDescent="0.25">
      <c r="A148" s="288"/>
      <c r="B148" s="276"/>
      <c r="D148" s="291"/>
      <c r="E148" s="291"/>
      <c r="F148" s="291"/>
      <c r="G148" s="291"/>
      <c r="H148" s="291"/>
      <c r="I148" s="310"/>
      <c r="J148" s="330"/>
      <c r="K148" s="330"/>
      <c r="L148" s="331"/>
      <c r="M148" s="331"/>
      <c r="N148" s="331"/>
      <c r="O148" s="331"/>
      <c r="P148" s="331"/>
      <c r="Q148" s="331"/>
      <c r="U148" s="293"/>
      <c r="V148" s="293"/>
      <c r="AK148" s="334"/>
      <c r="AL148" s="334"/>
    </row>
    <row r="149" spans="1:38" ht="5.25" customHeight="1" x14ac:dyDescent="0.25">
      <c r="A149" s="288"/>
      <c r="AK149" s="334"/>
      <c r="AL149" s="334"/>
    </row>
    <row r="150" spans="1:38" ht="12" customHeight="1" x14ac:dyDescent="0.25">
      <c r="A150" s="361"/>
      <c r="B150" s="344"/>
      <c r="C150" s="641" t="s">
        <v>430</v>
      </c>
      <c r="D150" s="641"/>
      <c r="E150" s="641"/>
      <c r="F150" s="641"/>
      <c r="G150" s="641"/>
      <c r="H150" s="641"/>
      <c r="I150" s="641"/>
      <c r="J150" s="641"/>
      <c r="K150" s="641"/>
      <c r="L150" s="641"/>
      <c r="M150" s="641"/>
      <c r="N150" s="641"/>
      <c r="O150" s="641"/>
      <c r="P150" s="641"/>
      <c r="Q150" s="641"/>
      <c r="R150" s="641"/>
      <c r="S150" s="641"/>
      <c r="T150" s="641"/>
      <c r="U150" s="641"/>
      <c r="V150" s="641"/>
      <c r="W150" s="641"/>
      <c r="X150" s="641"/>
      <c r="Y150" s="641"/>
      <c r="Z150" s="641"/>
      <c r="AA150" s="641"/>
      <c r="AB150" s="641"/>
      <c r="AC150" s="641"/>
      <c r="AD150" s="344"/>
      <c r="AE150" s="345"/>
      <c r="AK150" s="334"/>
      <c r="AL150" s="334"/>
    </row>
    <row r="151" spans="1:38" ht="12" customHeight="1" x14ac:dyDescent="0.25">
      <c r="A151" s="362"/>
      <c r="C151" s="642"/>
      <c r="D151" s="642"/>
      <c r="E151" s="642"/>
      <c r="F151" s="642"/>
      <c r="G151" s="642"/>
      <c r="H151" s="642"/>
      <c r="I151" s="642"/>
      <c r="J151" s="642"/>
      <c r="K151" s="642"/>
      <c r="L151" s="642"/>
      <c r="M151" s="642"/>
      <c r="N151" s="642"/>
      <c r="O151" s="642"/>
      <c r="P151" s="642"/>
      <c r="Q151" s="642"/>
      <c r="R151" s="642"/>
      <c r="S151" s="642"/>
      <c r="T151" s="642"/>
      <c r="U151" s="642"/>
      <c r="V151" s="642"/>
      <c r="W151" s="642"/>
      <c r="X151" s="642"/>
      <c r="Y151" s="642"/>
      <c r="Z151" s="642"/>
      <c r="AA151" s="642"/>
      <c r="AB151" s="642"/>
      <c r="AC151" s="642"/>
      <c r="AE151" s="350"/>
      <c r="AK151" s="334"/>
      <c r="AL151" s="334"/>
    </row>
    <row r="152" spans="1:38" ht="12" customHeight="1" x14ac:dyDescent="0.25">
      <c r="A152" s="362"/>
      <c r="AE152" s="350"/>
      <c r="AK152" s="334"/>
      <c r="AL152" s="334"/>
    </row>
    <row r="153" spans="1:38" ht="12.75" customHeight="1" x14ac:dyDescent="0.25">
      <c r="A153" s="346"/>
      <c r="C153" s="369" t="s">
        <v>435</v>
      </c>
      <c r="L153" s="373">
        <f>+L65-L144</f>
        <v>0</v>
      </c>
      <c r="M153" s="369" t="s">
        <v>428</v>
      </c>
      <c r="N153" s="369"/>
      <c r="O153" s="369"/>
      <c r="P153" s="369"/>
      <c r="Q153" s="369"/>
      <c r="R153" s="369"/>
      <c r="S153" s="371"/>
      <c r="T153" s="418"/>
      <c r="U153" s="638">
        <f>+L153*12</f>
        <v>0</v>
      </c>
      <c r="V153" s="638"/>
      <c r="W153" s="638"/>
      <c r="X153" s="638"/>
      <c r="Y153" s="638"/>
      <c r="Z153" s="371"/>
      <c r="AA153" s="371" t="s">
        <v>429</v>
      </c>
      <c r="AB153" s="371"/>
      <c r="AC153" s="371"/>
      <c r="AE153" s="350"/>
      <c r="AK153" s="334"/>
      <c r="AL153" s="334"/>
    </row>
    <row r="154" spans="1:38" ht="6.75" customHeight="1" x14ac:dyDescent="0.25">
      <c r="A154" s="346"/>
      <c r="C154" s="369"/>
      <c r="L154" s="371"/>
      <c r="M154" s="371"/>
      <c r="N154" s="371"/>
      <c r="O154" s="371"/>
      <c r="P154" s="371"/>
      <c r="Q154" s="371"/>
      <c r="R154" s="371"/>
      <c r="S154" s="371"/>
      <c r="T154" s="371"/>
      <c r="U154" s="371"/>
      <c r="V154" s="372"/>
      <c r="W154" s="372"/>
      <c r="X154" s="372"/>
      <c r="Y154" s="372"/>
      <c r="Z154" s="371"/>
      <c r="AA154" s="371"/>
      <c r="AB154" s="371"/>
      <c r="AC154" s="371"/>
      <c r="AE154" s="350"/>
      <c r="AK154" s="334"/>
      <c r="AL154" s="334"/>
    </row>
    <row r="155" spans="1:38" s="320" customFormat="1" ht="12.75" customHeight="1" x14ac:dyDescent="0.25">
      <c r="A155" s="363"/>
      <c r="B155" s="277"/>
      <c r="C155" s="369" t="s">
        <v>436</v>
      </c>
      <c r="D155" s="277"/>
      <c r="E155" s="277"/>
      <c r="F155" s="277"/>
      <c r="G155" s="277"/>
      <c r="H155" s="277"/>
      <c r="I155" s="277"/>
      <c r="J155" s="300"/>
      <c r="K155" s="300"/>
      <c r="L155" s="370">
        <f>+L67-L146</f>
        <v>0</v>
      </c>
      <c r="M155" s="371" t="s">
        <v>428</v>
      </c>
      <c r="N155" s="371"/>
      <c r="O155" s="371"/>
      <c r="P155" s="371"/>
      <c r="Q155" s="371"/>
      <c r="R155" s="371"/>
      <c r="S155" s="371"/>
      <c r="T155" s="371"/>
      <c r="U155" s="638">
        <f>+L155*12</f>
        <v>0</v>
      </c>
      <c r="V155" s="638"/>
      <c r="W155" s="638"/>
      <c r="X155" s="638"/>
      <c r="Y155" s="638"/>
      <c r="Z155" s="371"/>
      <c r="AA155" s="371" t="s">
        <v>429</v>
      </c>
      <c r="AB155" s="371"/>
      <c r="AC155" s="371"/>
      <c r="AD155" s="277"/>
      <c r="AE155" s="364"/>
      <c r="AF155" s="412"/>
      <c r="AK155" s="336"/>
      <c r="AL155" s="336"/>
    </row>
    <row r="156" spans="1:38" ht="21" customHeight="1" x14ac:dyDescent="0.25">
      <c r="A156" s="346"/>
      <c r="C156" s="369" t="s">
        <v>427</v>
      </c>
      <c r="L156" s="370">
        <f>+L68-L147</f>
        <v>0</v>
      </c>
      <c r="M156" s="371" t="s">
        <v>428</v>
      </c>
      <c r="N156" s="371"/>
      <c r="O156" s="371"/>
      <c r="P156" s="371"/>
      <c r="Q156" s="371"/>
      <c r="R156" s="371"/>
      <c r="S156" s="371"/>
      <c r="T156" s="371"/>
      <c r="U156" s="639">
        <f>+L156*12</f>
        <v>0</v>
      </c>
      <c r="V156" s="639"/>
      <c r="W156" s="639"/>
      <c r="X156" s="639"/>
      <c r="Y156" s="639"/>
      <c r="Z156" s="369"/>
      <c r="AA156" s="369" t="s">
        <v>429</v>
      </c>
      <c r="AB156" s="369"/>
      <c r="AC156" s="369"/>
      <c r="AE156" s="350"/>
      <c r="AK156" s="334"/>
      <c r="AL156" s="334"/>
    </row>
    <row r="157" spans="1:38" ht="17.25" customHeight="1" x14ac:dyDescent="0.25">
      <c r="A157" s="365"/>
      <c r="B157" s="366"/>
      <c r="C157" s="366"/>
      <c r="D157" s="366"/>
      <c r="E157" s="366"/>
      <c r="F157" s="366"/>
      <c r="G157" s="366"/>
      <c r="H157" s="366"/>
      <c r="I157" s="366"/>
      <c r="J157" s="367"/>
      <c r="K157" s="367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  <c r="AA157" s="366"/>
      <c r="AB157" s="366"/>
      <c r="AC157" s="366"/>
      <c r="AD157" s="366"/>
      <c r="AE157" s="368"/>
      <c r="AK157" s="334"/>
      <c r="AL157" s="334"/>
    </row>
  </sheetData>
  <sheetProtection algorithmName="SHA-512" hashValue="Zchk0ZCyqaJiJZ/xTLROSqAYDdaBklx9KeGZhODKxAHvDBUcLb84D5sWAzgETjgBLpgP7hWBeiJf9jVPvMC0aw==" saltValue="E/VMEJWYs38w82uVqWltWw==" spinCount="100000" sheet="1" objects="1" scenarios="1"/>
  <customSheetViews>
    <customSheetView guid="{40555330-83BF-42FA-97D0-8A355A41C0A0}" scale="130" printArea="1" hiddenRows="1" hiddenColumns="1" showRuler="0" topLeftCell="A31">
      <selection activeCell="A53" sqref="A53:H5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85">
    <mergeCell ref="S133:AD133"/>
    <mergeCell ref="S126:AD126"/>
    <mergeCell ref="S128:AD128"/>
    <mergeCell ref="S130:AD130"/>
    <mergeCell ref="S124:AD124"/>
    <mergeCell ref="S129:AD129"/>
    <mergeCell ref="S123:AD123"/>
    <mergeCell ref="M75:AD75"/>
    <mergeCell ref="L79:W79"/>
    <mergeCell ref="M118:AD119"/>
    <mergeCell ref="T96:AC100"/>
    <mergeCell ref="W93:AD93"/>
    <mergeCell ref="I85:M85"/>
    <mergeCell ref="A83:M83"/>
    <mergeCell ref="Y95:AC95"/>
    <mergeCell ref="I89:M89"/>
    <mergeCell ref="S125:AD125"/>
    <mergeCell ref="N104:R104"/>
    <mergeCell ref="B77:I77"/>
    <mergeCell ref="L77:W77"/>
    <mergeCell ref="O91:O103"/>
    <mergeCell ref="B84:G84"/>
    <mergeCell ref="M81:AE82"/>
    <mergeCell ref="B79:I79"/>
    <mergeCell ref="S29:AD29"/>
    <mergeCell ref="S37:AD37"/>
    <mergeCell ref="S32:AD32"/>
    <mergeCell ref="S36:AD36"/>
    <mergeCell ref="S30:AD30"/>
    <mergeCell ref="S31:AD31"/>
    <mergeCell ref="S34:AD34"/>
    <mergeCell ref="B78:K78"/>
    <mergeCell ref="S42:AD42"/>
    <mergeCell ref="S33:AD33"/>
    <mergeCell ref="S56:AD56"/>
    <mergeCell ref="S57:AD57"/>
    <mergeCell ref="S43:AD43"/>
    <mergeCell ref="S54:AD54"/>
    <mergeCell ref="B70:H70"/>
    <mergeCell ref="I70:AD70"/>
    <mergeCell ref="B71:AD72"/>
    <mergeCell ref="S48:AD48"/>
    <mergeCell ref="S44:AD44"/>
    <mergeCell ref="S50:AD50"/>
    <mergeCell ref="S49:AD49"/>
    <mergeCell ref="S46:AD46"/>
    <mergeCell ref="M38:AD39"/>
    <mergeCell ref="L76:AJ76"/>
    <mergeCell ref="B8:G8"/>
    <mergeCell ref="V9:AC9"/>
    <mergeCell ref="B10:G10"/>
    <mergeCell ref="T16:AC20"/>
    <mergeCell ref="Y4:AC4"/>
    <mergeCell ref="I11:L11"/>
    <mergeCell ref="B15:F16"/>
    <mergeCell ref="Y15:AC15"/>
    <mergeCell ref="S24:AD24"/>
    <mergeCell ref="B13:F13"/>
    <mergeCell ref="B17:G18"/>
    <mergeCell ref="V8:AC8"/>
    <mergeCell ref="V13:AC13"/>
    <mergeCell ref="I5:M5"/>
    <mergeCell ref="I6:M6"/>
    <mergeCell ref="O11:O23"/>
    <mergeCell ref="I10:M10"/>
    <mergeCell ref="V10:AC10"/>
    <mergeCell ref="V12:AC12"/>
    <mergeCell ref="N24:R24"/>
    <mergeCell ref="S135:AD135"/>
    <mergeCell ref="S134:AD134"/>
    <mergeCell ref="S41:AD41"/>
    <mergeCell ref="R21:AE22"/>
    <mergeCell ref="M1:AE2"/>
    <mergeCell ref="S116:AD116"/>
    <mergeCell ref="S117:AD117"/>
    <mergeCell ref="S107:AD107"/>
    <mergeCell ref="S108:AD108"/>
    <mergeCell ref="S109:AD109"/>
    <mergeCell ref="S110:AD110"/>
    <mergeCell ref="S45:AD45"/>
    <mergeCell ref="S52:AD52"/>
    <mergeCell ref="S58:AD58"/>
    <mergeCell ref="A3:M3"/>
    <mergeCell ref="I4:M4"/>
    <mergeCell ref="I7:M7"/>
    <mergeCell ref="I8:M8"/>
    <mergeCell ref="B4:G4"/>
    <mergeCell ref="B7:G7"/>
    <mergeCell ref="S28:AD28"/>
    <mergeCell ref="S25:AD25"/>
    <mergeCell ref="S27:AD27"/>
    <mergeCell ref="S51:AD51"/>
    <mergeCell ref="U153:Y153"/>
    <mergeCell ref="U155:Y155"/>
    <mergeCell ref="U156:Y156"/>
    <mergeCell ref="AG34:AH34"/>
    <mergeCell ref="AG36:AH36"/>
    <mergeCell ref="AG41:AH41"/>
    <mergeCell ref="AG57:AH57"/>
    <mergeCell ref="S112:AD112"/>
    <mergeCell ref="S113:AD113"/>
    <mergeCell ref="S114:AD114"/>
    <mergeCell ref="S136:AD136"/>
    <mergeCell ref="S104:AD104"/>
    <mergeCell ref="S101:AD102"/>
    <mergeCell ref="S111:AD111"/>
    <mergeCell ref="S105:AD105"/>
    <mergeCell ref="S137:AD137"/>
    <mergeCell ref="S122:AD122"/>
    <mergeCell ref="S121:AD121"/>
    <mergeCell ref="C150:AC151"/>
    <mergeCell ref="B85:G85"/>
    <mergeCell ref="I86:M86"/>
    <mergeCell ref="I87:M87"/>
    <mergeCell ref="I88:M88"/>
    <mergeCell ref="C76:J76"/>
    <mergeCell ref="AI27:AJ27"/>
    <mergeCell ref="AG25:AH25"/>
    <mergeCell ref="AI25:AJ25"/>
    <mergeCell ref="AG30:AH30"/>
    <mergeCell ref="AI29:AJ29"/>
    <mergeCell ref="AI31:AJ31"/>
    <mergeCell ref="AG27:AH27"/>
    <mergeCell ref="AI30:AJ30"/>
    <mergeCell ref="AG29:AH29"/>
    <mergeCell ref="AI28:AJ28"/>
    <mergeCell ref="AG28:AH28"/>
    <mergeCell ref="AG4:AG7"/>
    <mergeCell ref="AG9:AG10"/>
    <mergeCell ref="AG26:AH26"/>
    <mergeCell ref="AG21:AH21"/>
    <mergeCell ref="AG13:AH13"/>
    <mergeCell ref="AI9:AJ11"/>
    <mergeCell ref="AI22:AJ22"/>
    <mergeCell ref="AI15:AJ15"/>
    <mergeCell ref="AG19:AH19"/>
    <mergeCell ref="AG22:AH22"/>
    <mergeCell ref="AI26:AJ26"/>
    <mergeCell ref="AI21:AJ21"/>
    <mergeCell ref="AI24:AJ24"/>
    <mergeCell ref="AG15:AH15"/>
    <mergeCell ref="AG17:AH17"/>
    <mergeCell ref="AI4:AJ8"/>
    <mergeCell ref="AI19:AJ19"/>
    <mergeCell ref="AI13:AJ13"/>
    <mergeCell ref="AG24:AH24"/>
    <mergeCell ref="AI17:AJ17"/>
    <mergeCell ref="AG33:AH33"/>
    <mergeCell ref="AI33:AJ33"/>
    <mergeCell ref="AI50:AJ50"/>
    <mergeCell ref="AG32:AH32"/>
    <mergeCell ref="AI39:AJ39"/>
    <mergeCell ref="AI41:AJ41"/>
    <mergeCell ref="AG31:AH31"/>
    <mergeCell ref="AI32:AJ32"/>
    <mergeCell ref="AI34:AJ34"/>
    <mergeCell ref="AI36:AJ36"/>
    <mergeCell ref="AI38:AJ38"/>
    <mergeCell ref="AG39:AH39"/>
    <mergeCell ref="L78:AD78"/>
    <mergeCell ref="AG63:AH63"/>
    <mergeCell ref="AG78:AJ78"/>
    <mergeCell ref="AG74:AJ75"/>
    <mergeCell ref="AG70:AJ71"/>
    <mergeCell ref="AG79:AJ79"/>
    <mergeCell ref="C73:K74"/>
    <mergeCell ref="L73:AD74"/>
    <mergeCell ref="B88:G88"/>
    <mergeCell ref="E75:K75"/>
    <mergeCell ref="I84:M84"/>
    <mergeCell ref="AI61:AJ61"/>
    <mergeCell ref="AI45:AJ48"/>
    <mergeCell ref="AG65:AG67"/>
    <mergeCell ref="AG43:AH43"/>
    <mergeCell ref="AI60:AJ60"/>
    <mergeCell ref="AG60:AH60"/>
    <mergeCell ref="AI65:AJ67"/>
    <mergeCell ref="AG72:AJ73"/>
    <mergeCell ref="AI57:AJ58"/>
    <mergeCell ref="AG54:AH54"/>
    <mergeCell ref="AI54:AJ54"/>
    <mergeCell ref="AI43:AJ43"/>
    <mergeCell ref="AG48:AH48"/>
    <mergeCell ref="AG45:AH45"/>
    <mergeCell ref="AG50:AH50"/>
  </mergeCells>
  <phoneticPr fontId="0" type="noConversion"/>
  <conditionalFormatting sqref="B60:H61 B63:H63 B65 B67:C69 B139:H140 B142:H142 B144 B146:C148">
    <cfRule type="cellIs" dxfId="4" priority="30" stopIfTrue="1" operator="equal">
      <formula>"Fejl! Udfyld ENTEN kr.beløb ELLER Trin"</formula>
    </cfRule>
  </conditionalFormatting>
  <conditionalFormatting sqref="B12:I12">
    <cfRule type="cellIs" dxfId="3" priority="1" stopIfTrue="1" operator="notEqual">
      <formula>"Lønkode"</formula>
    </cfRule>
  </conditionalFormatting>
  <conditionalFormatting sqref="B92:K92">
    <cfRule type="cellIs" dxfId="2" priority="31" stopIfTrue="1" operator="notEqual">
      <formula>"Lønkode"</formula>
    </cfRule>
  </conditionalFormatting>
  <pageMargins left="0.19685039370078741" right="0.19685039370078741" top="0.27559055118110237" bottom="0.39370078740157483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2"/>
  <dimension ref="A1:AO150"/>
  <sheetViews>
    <sheetView topLeftCell="A2" zoomScale="120" zoomScaleNormal="120" zoomScaleSheetLayoutView="120" zoomScalePageLayoutView="115" workbookViewId="0">
      <selection activeCell="L31" sqref="L31"/>
    </sheetView>
  </sheetViews>
  <sheetFormatPr defaultColWidth="9.33203125" defaultRowHeight="12.75" x14ac:dyDescent="0.2"/>
  <cols>
    <col min="1" max="1" width="2.5" style="277" customWidth="1"/>
    <col min="2" max="2" width="0.83203125" style="277" customWidth="1"/>
    <col min="3" max="3" width="2.1640625" style="277" customWidth="1"/>
    <col min="4" max="4" width="8.33203125" style="277" customWidth="1"/>
    <col min="5" max="7" width="4.5" style="277" customWidth="1"/>
    <col min="8" max="8" width="7" style="277" customWidth="1"/>
    <col min="9" max="9" width="10.1640625" style="277" customWidth="1"/>
    <col min="10" max="10" width="5" style="300" customWidth="1"/>
    <col min="11" max="11" width="1.33203125" style="300" customWidth="1"/>
    <col min="12" max="12" width="13.1640625" style="277" customWidth="1"/>
    <col min="13" max="13" width="14" style="277" customWidth="1"/>
    <col min="14" max="14" width="1.33203125" style="277" customWidth="1"/>
    <col min="15" max="15" width="3" style="277" customWidth="1"/>
    <col min="16" max="17" width="2.83203125" style="277" hidden="1" customWidth="1"/>
    <col min="18" max="18" width="1.83203125" style="277" customWidth="1"/>
    <col min="19" max="20" width="3.1640625" style="277" customWidth="1"/>
    <col min="21" max="21" width="2.6640625" style="277" customWidth="1"/>
    <col min="22" max="22" width="2.5" style="277" customWidth="1"/>
    <col min="23" max="23" width="3.1640625" style="277" customWidth="1"/>
    <col min="24" max="24" width="4.1640625" style="277" customWidth="1"/>
    <col min="25" max="25" width="2.6640625" style="277" customWidth="1"/>
    <col min="26" max="27" width="2.5" style="277" customWidth="1"/>
    <col min="28" max="29" width="3.1640625" style="277" customWidth="1"/>
    <col min="30" max="30" width="2" style="277" customWidth="1"/>
    <col min="31" max="31" width="1.83203125" style="277" customWidth="1"/>
    <col min="32" max="32" width="1.83203125" style="277" hidden="1" customWidth="1"/>
    <col min="33" max="33" width="27.33203125" style="427" hidden="1" customWidth="1"/>
    <col min="34" max="34" width="3.6640625" style="277" hidden="1" customWidth="1"/>
    <col min="35" max="35" width="9.6640625" style="427" hidden="1" customWidth="1"/>
    <col min="36" max="36" width="71" style="427" hidden="1" customWidth="1"/>
    <col min="37" max="38" width="9.33203125" style="277" hidden="1" customWidth="1"/>
    <col min="39" max="82" width="0" style="277" hidden="1" customWidth="1"/>
    <col min="83" max="16384" width="9.33203125" style="277"/>
  </cols>
  <sheetData>
    <row r="1" spans="1:41" ht="7.5" hidden="1" customHeight="1" x14ac:dyDescent="0.25">
      <c r="A1" s="276"/>
      <c r="B1" s="276"/>
      <c r="L1" s="278"/>
      <c r="M1" s="278"/>
      <c r="N1" s="278"/>
      <c r="O1" s="278"/>
      <c r="P1" s="278"/>
      <c r="Q1" s="278"/>
      <c r="S1" s="702" t="s">
        <v>728</v>
      </c>
      <c r="T1" s="702"/>
      <c r="U1" s="702"/>
      <c r="V1" s="702"/>
      <c r="W1" s="702"/>
      <c r="X1" s="702"/>
      <c r="Y1" s="702"/>
      <c r="Z1" s="702"/>
      <c r="AA1" s="702"/>
      <c r="AB1" s="702"/>
      <c r="AC1" s="702"/>
      <c r="AD1" s="702"/>
      <c r="AE1" s="453"/>
      <c r="AF1" s="338"/>
      <c r="AG1" s="288"/>
      <c r="AH1" s="338"/>
      <c r="AI1" s="441"/>
      <c r="AJ1" s="441"/>
      <c r="AK1" s="338"/>
      <c r="AL1" s="338"/>
      <c r="AM1" s="338"/>
      <c r="AN1" s="338"/>
      <c r="AO1" s="338"/>
    </row>
    <row r="2" spans="1:41" ht="21" customHeight="1" x14ac:dyDescent="0.35">
      <c r="A2" s="308"/>
      <c r="B2" s="698" t="s">
        <v>431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525"/>
      <c r="O2" s="525"/>
      <c r="P2" s="525"/>
      <c r="Q2" s="525"/>
      <c r="R2" s="39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453"/>
      <c r="AF2" s="334"/>
      <c r="AG2" s="426" t="s">
        <v>438</v>
      </c>
      <c r="AH2" s="334"/>
      <c r="AI2" s="441"/>
      <c r="AJ2" s="442"/>
      <c r="AK2" s="334"/>
      <c r="AL2" s="334"/>
    </row>
    <row r="3" spans="1:41" ht="13.5" customHeight="1" x14ac:dyDescent="0.25">
      <c r="A3" s="704"/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524"/>
      <c r="O3" s="524"/>
      <c r="P3" s="524"/>
      <c r="Q3" s="524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F3" s="334"/>
      <c r="AH3" s="334"/>
      <c r="AI3" s="442"/>
      <c r="AJ3" s="442"/>
      <c r="AK3" s="334"/>
      <c r="AL3" s="334"/>
    </row>
    <row r="4" spans="1:41" ht="12.75" customHeight="1" x14ac:dyDescent="0.25">
      <c r="A4" s="288"/>
      <c r="B4" s="326"/>
      <c r="C4" s="276" t="s">
        <v>65</v>
      </c>
      <c r="D4" s="276"/>
      <c r="E4" s="276"/>
      <c r="F4" s="276"/>
      <c r="G4" s="276"/>
      <c r="H4" s="289"/>
      <c r="I4" s="632"/>
      <c r="J4" s="633"/>
      <c r="K4" s="633"/>
      <c r="L4" s="633"/>
      <c r="M4" s="634"/>
      <c r="N4" s="524"/>
      <c r="O4" s="524"/>
      <c r="P4" s="524"/>
      <c r="Q4" s="524"/>
      <c r="S4" s="346"/>
      <c r="T4" s="342" t="s">
        <v>432</v>
      </c>
      <c r="U4" s="342"/>
      <c r="Y4" s="654"/>
      <c r="Z4" s="655"/>
      <c r="AA4" s="655"/>
      <c r="AB4" s="655"/>
      <c r="AC4" s="656"/>
      <c r="AD4" s="301"/>
      <c r="AF4" s="334"/>
      <c r="AG4" s="629" t="s">
        <v>439</v>
      </c>
      <c r="AH4" s="334"/>
      <c r="AI4" s="721" t="e">
        <f>+VLOOKUP(Y17,Vejledning!A:AV,2,1)</f>
        <v>#N/A</v>
      </c>
      <c r="AJ4" s="721"/>
      <c r="AK4" s="334"/>
      <c r="AL4" s="334"/>
    </row>
    <row r="5" spans="1:41" ht="12.75" hidden="1" customHeight="1" x14ac:dyDescent="0.25">
      <c r="A5" s="288"/>
      <c r="B5" s="326" t="s">
        <v>87</v>
      </c>
      <c r="C5" s="276"/>
      <c r="D5" s="276"/>
      <c r="E5" s="276"/>
      <c r="F5" s="276"/>
      <c r="G5" s="276"/>
      <c r="H5" s="289"/>
      <c r="I5" s="632"/>
      <c r="J5" s="633"/>
      <c r="K5" s="633"/>
      <c r="L5" s="633"/>
      <c r="M5" s="634"/>
      <c r="N5" s="524"/>
      <c r="O5" s="524"/>
      <c r="P5" s="524"/>
      <c r="Q5" s="524"/>
      <c r="S5" s="346"/>
      <c r="Z5" s="300"/>
      <c r="AA5" s="300"/>
      <c r="AB5" s="300"/>
      <c r="AC5" s="300"/>
      <c r="AD5" s="301"/>
      <c r="AF5" s="334"/>
      <c r="AG5" s="629"/>
      <c r="AH5" s="334"/>
      <c r="AI5" s="721"/>
      <c r="AJ5" s="721"/>
      <c r="AK5" s="334"/>
      <c r="AL5" s="334"/>
    </row>
    <row r="6" spans="1:41" ht="12.75" customHeight="1" x14ac:dyDescent="0.25">
      <c r="A6" s="288"/>
      <c r="B6" s="326"/>
      <c r="C6" s="288" t="s">
        <v>781</v>
      </c>
      <c r="D6" s="288"/>
      <c r="E6" s="288"/>
      <c r="F6" s="288"/>
      <c r="G6" s="288"/>
      <c r="H6" s="288"/>
      <c r="I6" s="632"/>
      <c r="J6" s="633"/>
      <c r="K6" s="633"/>
      <c r="L6" s="633"/>
      <c r="M6" s="634"/>
      <c r="N6" s="524"/>
      <c r="O6" s="524"/>
      <c r="P6" s="524"/>
      <c r="Q6" s="524"/>
      <c r="S6" s="346"/>
      <c r="Z6" s="300"/>
      <c r="AA6" s="300"/>
      <c r="AB6" s="300"/>
      <c r="AC6" s="300"/>
      <c r="AD6" s="301"/>
      <c r="AF6" s="334"/>
      <c r="AG6" s="288"/>
      <c r="AH6" s="334"/>
      <c r="AI6" s="721"/>
      <c r="AJ6" s="721"/>
      <c r="AK6" s="334"/>
      <c r="AL6" s="334"/>
    </row>
    <row r="7" spans="1:41" ht="12.75" customHeight="1" x14ac:dyDescent="0.25">
      <c r="A7" s="288"/>
      <c r="B7" s="326"/>
      <c r="C7" s="288" t="s">
        <v>782</v>
      </c>
      <c r="D7" s="288"/>
      <c r="E7" s="288"/>
      <c r="F7" s="288"/>
      <c r="G7" s="288"/>
      <c r="H7" s="288"/>
      <c r="I7" s="632"/>
      <c r="J7" s="633"/>
      <c r="K7" s="633"/>
      <c r="L7" s="633"/>
      <c r="M7" s="634"/>
      <c r="N7" s="524"/>
      <c r="O7" s="524"/>
      <c r="P7" s="524"/>
      <c r="Q7" s="524"/>
      <c r="S7" s="346"/>
      <c r="Z7" s="300"/>
      <c r="AA7" s="300"/>
      <c r="AB7" s="300"/>
      <c r="AC7" s="300"/>
      <c r="AD7" s="301"/>
      <c r="AF7" s="334"/>
      <c r="AG7" s="288"/>
      <c r="AH7" s="334"/>
      <c r="AI7" s="721"/>
      <c r="AJ7" s="721"/>
      <c r="AK7" s="334"/>
      <c r="AL7" s="334"/>
    </row>
    <row r="8" spans="1:41" ht="12.75" customHeight="1" x14ac:dyDescent="0.25">
      <c r="A8" s="288"/>
      <c r="B8" s="326"/>
      <c r="C8" s="629" t="s">
        <v>783</v>
      </c>
      <c r="D8" s="629"/>
      <c r="E8" s="629"/>
      <c r="F8" s="629"/>
      <c r="G8" s="629"/>
      <c r="H8" s="629"/>
      <c r="I8" s="632"/>
      <c r="J8" s="633"/>
      <c r="K8" s="633"/>
      <c r="L8" s="633"/>
      <c r="M8" s="634"/>
      <c r="N8" s="524"/>
      <c r="O8" s="524"/>
      <c r="P8" s="524"/>
      <c r="Q8" s="524"/>
      <c r="S8" s="346"/>
      <c r="Z8" s="300"/>
      <c r="AA8" s="300"/>
      <c r="AB8" s="300"/>
      <c r="AC8" s="300"/>
      <c r="AD8" s="301"/>
      <c r="AF8" s="334"/>
      <c r="AG8" s="288"/>
      <c r="AH8" s="334"/>
      <c r="AI8" s="721"/>
      <c r="AJ8" s="721"/>
      <c r="AK8" s="334"/>
      <c r="AL8" s="334"/>
    </row>
    <row r="9" spans="1:41" ht="12.75" customHeight="1" x14ac:dyDescent="0.25">
      <c r="A9" s="288"/>
      <c r="B9" s="326" t="s">
        <v>88</v>
      </c>
      <c r="C9" s="276" t="s">
        <v>88</v>
      </c>
      <c r="D9" s="276"/>
      <c r="E9" s="276"/>
      <c r="F9" s="276"/>
      <c r="G9" s="276"/>
      <c r="H9" s="289"/>
      <c r="I9" s="632"/>
      <c r="J9" s="633"/>
      <c r="K9" s="633"/>
      <c r="L9" s="633"/>
      <c r="M9" s="634"/>
      <c r="N9" s="524"/>
      <c r="O9" s="524"/>
      <c r="P9" s="524"/>
      <c r="Q9" s="524"/>
      <c r="S9" s="346"/>
      <c r="T9" s="394"/>
      <c r="V9" s="670" t="s">
        <v>433</v>
      </c>
      <c r="W9" s="670"/>
      <c r="X9" s="670"/>
      <c r="Y9" s="670"/>
      <c r="Z9" s="670"/>
      <c r="AA9" s="670"/>
      <c r="AB9" s="670"/>
      <c r="AC9" s="670"/>
      <c r="AD9" s="358"/>
      <c r="AF9" s="334"/>
      <c r="AH9" s="334"/>
      <c r="AI9" s="721"/>
      <c r="AJ9" s="721"/>
      <c r="AK9" s="334"/>
      <c r="AL9" s="334"/>
    </row>
    <row r="10" spans="1:41" ht="12.75" customHeight="1" x14ac:dyDescent="0.25">
      <c r="A10" s="288"/>
      <c r="B10" s="326"/>
      <c r="C10" s="276" t="s">
        <v>408</v>
      </c>
      <c r="D10" s="276"/>
      <c r="E10" s="276"/>
      <c r="F10" s="276"/>
      <c r="G10" s="276"/>
      <c r="H10" s="289"/>
      <c r="I10" s="295">
        <v>37</v>
      </c>
      <c r="J10" s="323"/>
      <c r="K10" s="388"/>
      <c r="L10" s="379" t="s">
        <v>409</v>
      </c>
      <c r="M10" s="551">
        <v>37</v>
      </c>
      <c r="N10" s="524"/>
      <c r="O10" s="524"/>
      <c r="P10" s="524"/>
      <c r="Q10" s="524"/>
      <c r="R10" s="324">
        <f>I10/MAX(M10,1)</f>
        <v>1</v>
      </c>
      <c r="S10" s="346"/>
      <c r="T10" s="325"/>
      <c r="U10" s="325"/>
      <c r="V10" s="716" t="s">
        <v>434</v>
      </c>
      <c r="W10" s="716"/>
      <c r="X10" s="716"/>
      <c r="Y10" s="716"/>
      <c r="Z10" s="716"/>
      <c r="AA10" s="716"/>
      <c r="AB10" s="716"/>
      <c r="AC10" s="716"/>
      <c r="AD10" s="347"/>
      <c r="AF10" s="334"/>
      <c r="AG10" s="629" t="s">
        <v>440</v>
      </c>
      <c r="AH10" s="334"/>
      <c r="AI10" s="717" t="e">
        <f>+VLOOKUP(Y17,Vejledning!A:AV,3,1)</f>
        <v>#N/A</v>
      </c>
      <c r="AJ10" s="717"/>
      <c r="AK10" s="334"/>
      <c r="AL10" s="334"/>
    </row>
    <row r="11" spans="1:41" ht="6" customHeight="1" x14ac:dyDescent="0.25">
      <c r="A11" s="288"/>
      <c r="B11" s="326"/>
      <c r="C11" s="629" t="s">
        <v>764</v>
      </c>
      <c r="D11" s="629"/>
      <c r="E11" s="629"/>
      <c r="F11" s="629"/>
      <c r="G11" s="629"/>
      <c r="H11" s="705"/>
      <c r="I11" s="706"/>
      <c r="J11" s="707"/>
      <c r="K11" s="707"/>
      <c r="L11" s="707"/>
      <c r="M11" s="708"/>
      <c r="N11" s="524"/>
      <c r="O11" s="524"/>
      <c r="P11" s="524"/>
      <c r="Q11" s="524"/>
      <c r="R11" s="324"/>
      <c r="S11" s="346"/>
      <c r="T11" s="712"/>
      <c r="U11" s="325"/>
      <c r="V11" s="716"/>
      <c r="W11" s="716"/>
      <c r="X11" s="716"/>
      <c r="Y11" s="716"/>
      <c r="Z11" s="716"/>
      <c r="AA11" s="716"/>
      <c r="AB11" s="716"/>
      <c r="AC11" s="716"/>
      <c r="AD11" s="347"/>
      <c r="AF11" s="334"/>
      <c r="AG11" s="629"/>
      <c r="AH11" s="334"/>
      <c r="AI11" s="717"/>
      <c r="AJ11" s="717"/>
      <c r="AK11" s="334"/>
      <c r="AL11" s="334"/>
    </row>
    <row r="12" spans="1:41" ht="6.75" customHeight="1" x14ac:dyDescent="0.2">
      <c r="A12" s="288"/>
      <c r="B12" s="326" t="s">
        <v>232</v>
      </c>
      <c r="C12" s="629"/>
      <c r="D12" s="629"/>
      <c r="E12" s="629"/>
      <c r="F12" s="629"/>
      <c r="G12" s="629"/>
      <c r="H12" s="705"/>
      <c r="I12" s="709"/>
      <c r="J12" s="710"/>
      <c r="K12" s="710"/>
      <c r="L12" s="710"/>
      <c r="M12" s="711"/>
      <c r="N12" s="524"/>
      <c r="O12" s="524"/>
      <c r="P12" s="524"/>
      <c r="Q12" s="524"/>
      <c r="S12" s="346"/>
      <c r="T12" s="713"/>
      <c r="V12" s="714" t="s">
        <v>443</v>
      </c>
      <c r="W12" s="714"/>
      <c r="X12" s="714"/>
      <c r="Y12" s="714"/>
      <c r="Z12" s="714"/>
      <c r="AA12" s="714"/>
      <c r="AB12" s="714"/>
      <c r="AC12" s="714"/>
      <c r="AD12" s="358"/>
      <c r="AF12" s="337"/>
      <c r="AG12" s="409"/>
      <c r="AH12" s="337"/>
      <c r="AI12" s="717"/>
      <c r="AJ12" s="717"/>
      <c r="AK12" s="337"/>
      <c r="AL12" s="337"/>
    </row>
    <row r="13" spans="1:41" ht="12.75" customHeight="1" x14ac:dyDescent="0.2">
      <c r="A13" s="288"/>
      <c r="B13" s="326" t="s">
        <v>91</v>
      </c>
      <c r="C13" s="276" t="s">
        <v>765</v>
      </c>
      <c r="D13" s="276"/>
      <c r="E13" s="276"/>
      <c r="F13" s="276"/>
      <c r="G13" s="276"/>
      <c r="H13" s="289"/>
      <c r="I13" s="657"/>
      <c r="J13" s="658"/>
      <c r="K13" s="658"/>
      <c r="L13" s="659"/>
      <c r="M13" s="296"/>
      <c r="N13" s="303"/>
      <c r="O13" s="668" t="s">
        <v>767</v>
      </c>
      <c r="P13" s="303"/>
      <c r="Q13" s="303"/>
      <c r="S13" s="346"/>
      <c r="T13" s="325"/>
      <c r="U13" s="325"/>
      <c r="V13" s="714"/>
      <c r="W13" s="714"/>
      <c r="X13" s="714"/>
      <c r="Y13" s="714"/>
      <c r="Z13" s="714"/>
      <c r="AA13" s="714"/>
      <c r="AB13" s="714"/>
      <c r="AC13" s="714"/>
      <c r="AD13" s="347"/>
      <c r="AF13" s="337"/>
      <c r="AG13" s="409"/>
      <c r="AH13" s="337"/>
      <c r="AI13" s="335"/>
      <c r="AJ13" s="335"/>
      <c r="AK13" s="337"/>
      <c r="AL13" s="337"/>
    </row>
    <row r="14" spans="1:41" ht="14.25" customHeight="1" x14ac:dyDescent="0.25">
      <c r="A14" s="288"/>
      <c r="B14" s="327"/>
      <c r="C14" s="285"/>
      <c r="D14" s="285"/>
      <c r="E14" s="285"/>
      <c r="F14" s="285"/>
      <c r="G14" s="285"/>
      <c r="H14" s="285"/>
      <c r="I14" s="450">
        <f>+IF(+Y17=7101,4,+IF(+Y17=7001,3,+IF(+Y17=7021,3,+IF(+Y17=3101,1,0+IF(+Y17=7121,4,)))))</f>
        <v>0</v>
      </c>
      <c r="J14" s="315"/>
      <c r="K14" s="315"/>
      <c r="L14" s="519">
        <f>+IF(+I14=0,4,+(IF(+I14=1,7,+IF(+I14=3,14,+IF(+I14=4,18,4)))))</f>
        <v>4</v>
      </c>
      <c r="M14" s="520">
        <f>+IF(+I14=0,2,+(IF(+I14=1,6,+IF(+I14=3,12,+IF(+I14=4,16,2)))))</f>
        <v>2</v>
      </c>
      <c r="N14" s="520"/>
      <c r="O14" s="669"/>
      <c r="P14" s="520"/>
      <c r="Q14" s="520"/>
      <c r="S14" s="346"/>
      <c r="T14" s="394"/>
      <c r="V14" s="667" t="s">
        <v>442</v>
      </c>
      <c r="W14" s="667"/>
      <c r="X14" s="667"/>
      <c r="Y14" s="667"/>
      <c r="Z14" s="667"/>
      <c r="AA14" s="667"/>
      <c r="AB14" s="667"/>
      <c r="AC14" s="667"/>
      <c r="AD14" s="358"/>
      <c r="AF14" s="337"/>
      <c r="AG14" s="409" t="e">
        <f>+VLOOKUP(Y17,Vejledning!A:D,4,1)</f>
        <v>#N/A</v>
      </c>
      <c r="AH14" s="337"/>
      <c r="AI14" s="428" t="e">
        <f>+VLOOKUP(Y17,Vejledning!A:AV,5,1)</f>
        <v>#N/A</v>
      </c>
      <c r="AJ14" s="320"/>
      <c r="AK14" s="337"/>
      <c r="AL14" s="337"/>
    </row>
    <row r="15" spans="1:41" ht="12.75" customHeight="1" x14ac:dyDescent="0.25">
      <c r="A15" s="288"/>
      <c r="B15" s="327" t="s">
        <v>269</v>
      </c>
      <c r="C15" s="285"/>
      <c r="D15" s="285"/>
      <c r="E15" s="285"/>
      <c r="F15" s="285"/>
      <c r="G15" s="285"/>
      <c r="H15" s="286"/>
      <c r="I15" s="295"/>
      <c r="J15" s="307" t="s">
        <v>388</v>
      </c>
      <c r="K15" s="715" t="s">
        <v>399</v>
      </c>
      <c r="L15" s="715"/>
      <c r="M15" s="315">
        <f>VLOOKUP(LønkodeNyLøn,TabelPctReg,2)</f>
        <v>65.337800000000001</v>
      </c>
      <c r="N15" s="315"/>
      <c r="O15" s="669"/>
      <c r="P15" s="315"/>
      <c r="Q15" s="315"/>
      <c r="S15" s="346"/>
      <c r="U15" s="325"/>
      <c r="V15" s="667"/>
      <c r="W15" s="667"/>
      <c r="X15" s="340"/>
      <c r="Y15" s="654"/>
      <c r="Z15" s="655"/>
      <c r="AA15" s="655"/>
      <c r="AB15" s="655"/>
      <c r="AC15" s="656"/>
      <c r="AD15" s="374"/>
      <c r="AF15" s="334"/>
      <c r="AH15" s="334"/>
      <c r="AI15" s="428"/>
      <c r="AJ15" s="428"/>
      <c r="AK15" s="334"/>
      <c r="AL15" s="334"/>
    </row>
    <row r="16" spans="1:41" ht="12.75" customHeight="1" x14ac:dyDescent="0.25">
      <c r="C16" s="277" t="s">
        <v>447</v>
      </c>
      <c r="O16" s="669"/>
      <c r="S16" s="348"/>
      <c r="T16" s="333"/>
      <c r="U16" s="333"/>
      <c r="V16" s="325"/>
      <c r="W16" s="325"/>
      <c r="X16" s="325"/>
      <c r="Y16" s="325"/>
      <c r="Z16" s="325"/>
      <c r="AA16" s="325"/>
      <c r="AB16" s="325"/>
      <c r="AC16" s="325"/>
      <c r="AD16" s="349"/>
      <c r="AF16" s="334"/>
      <c r="AG16" s="427" t="e">
        <f>+VLOOKUP(Y17,Vejledning!A:AP,6,1)</f>
        <v>#N/A</v>
      </c>
      <c r="AH16" s="334"/>
      <c r="AI16" s="428" t="e">
        <f>+VLOOKUP(Y17,Vejledning!A:AV,7,1)</f>
        <v>#N/A</v>
      </c>
      <c r="AJ16" s="428"/>
      <c r="AK16" s="334"/>
      <c r="AL16" s="334"/>
    </row>
    <row r="17" spans="1:38" ht="11.25" customHeight="1" x14ac:dyDescent="0.25">
      <c r="A17" s="279"/>
      <c r="B17" s="279"/>
      <c r="C17" s="396" t="s">
        <v>446</v>
      </c>
      <c r="D17" s="395"/>
      <c r="E17" s="395"/>
      <c r="F17" s="395"/>
      <c r="G17" s="395"/>
      <c r="H17" s="395"/>
      <c r="I17" s="305" t="s">
        <v>161</v>
      </c>
      <c r="J17" s="305" t="s">
        <v>21</v>
      </c>
      <c r="K17" s="305"/>
      <c r="L17" s="305" t="s">
        <v>233</v>
      </c>
      <c r="M17" s="318" t="s">
        <v>234</v>
      </c>
      <c r="N17" s="318"/>
      <c r="O17" s="669"/>
      <c r="P17" s="318"/>
      <c r="Q17" s="318"/>
      <c r="R17" s="280"/>
      <c r="S17" s="348"/>
      <c r="T17" s="445" t="s">
        <v>407</v>
      </c>
      <c r="U17" s="317"/>
      <c r="V17" s="316"/>
      <c r="W17" s="316"/>
      <c r="X17" s="316"/>
      <c r="Y17" s="699"/>
      <c r="Z17" s="700"/>
      <c r="AA17" s="700"/>
      <c r="AB17" s="700"/>
      <c r="AC17" s="701"/>
      <c r="AD17" s="349"/>
      <c r="AF17" s="335"/>
      <c r="AG17" s="409"/>
      <c r="AH17" s="335"/>
      <c r="AI17" s="409"/>
      <c r="AJ17" s="409"/>
      <c r="AK17" s="335"/>
      <c r="AL17" s="335"/>
    </row>
    <row r="18" spans="1:38" ht="11.25" customHeight="1" x14ac:dyDescent="0.2">
      <c r="A18" s="281"/>
      <c r="B18" s="281"/>
      <c r="C18" s="281"/>
      <c r="D18" s="281"/>
      <c r="E18" s="281"/>
      <c r="F18" s="281"/>
      <c r="G18" s="281"/>
      <c r="H18" s="281"/>
      <c r="I18" s="305" t="s">
        <v>162</v>
      </c>
      <c r="J18" s="305" t="s">
        <v>122</v>
      </c>
      <c r="K18" s="305"/>
      <c r="L18" s="392">
        <f>Dato1-0</f>
        <v>46113</v>
      </c>
      <c r="M18" s="319">
        <f>Dato1-0</f>
        <v>46113</v>
      </c>
      <c r="N18" s="319"/>
      <c r="O18" s="669"/>
      <c r="P18" s="319"/>
      <c r="Q18" s="319"/>
      <c r="R18" s="280"/>
      <c r="S18" s="346"/>
      <c r="T18" s="718" t="e">
        <f>+VLOOKUP(Y17,Vejledning!1:1048576,2,1)</f>
        <v>#N/A</v>
      </c>
      <c r="U18" s="718"/>
      <c r="V18" s="718"/>
      <c r="W18" s="718"/>
      <c r="X18" s="718"/>
      <c r="Y18" s="718"/>
      <c r="Z18" s="718"/>
      <c r="AA18" s="718"/>
      <c r="AB18" s="718"/>
      <c r="AC18" s="718"/>
      <c r="AD18" s="350"/>
      <c r="AF18" s="335"/>
      <c r="AG18" s="409" t="e">
        <f>+VLOOKUP(Y17,Vejledning!A:AP,8,1)</f>
        <v>#N/A</v>
      </c>
      <c r="AH18" s="335"/>
      <c r="AI18" s="428" t="e">
        <f>+VLOOKUP(Y17,Vejledning!A:AV,9,1)</f>
        <v>#N/A</v>
      </c>
      <c r="AJ18" s="428"/>
      <c r="AK18" s="335"/>
      <c r="AL18" s="335"/>
    </row>
    <row r="19" spans="1:38" ht="11.25" customHeight="1" x14ac:dyDescent="0.2">
      <c r="A19" s="276"/>
      <c r="I19" s="306">
        <f>VLOOKUP(LønkodeNyLøn,TabelPctReg,3)</f>
        <v>36616</v>
      </c>
      <c r="J19" s="305"/>
      <c r="K19" s="305"/>
      <c r="L19" s="392" t="s">
        <v>398</v>
      </c>
      <c r="M19" s="319" t="s">
        <v>398</v>
      </c>
      <c r="N19" s="319"/>
      <c r="O19" s="669"/>
      <c r="P19" s="319"/>
      <c r="Q19" s="319"/>
      <c r="R19" s="282"/>
      <c r="S19" s="351"/>
      <c r="T19" s="718"/>
      <c r="U19" s="718"/>
      <c r="V19" s="718"/>
      <c r="W19" s="718"/>
      <c r="X19" s="718"/>
      <c r="Y19" s="718"/>
      <c r="Z19" s="718"/>
      <c r="AA19" s="718"/>
      <c r="AB19" s="718"/>
      <c r="AC19" s="718"/>
      <c r="AD19" s="356"/>
      <c r="AF19" s="335"/>
      <c r="AG19" s="409"/>
      <c r="AH19" s="335"/>
      <c r="AI19" s="428"/>
      <c r="AJ19" s="428"/>
      <c r="AK19" s="335"/>
      <c r="AL19" s="335"/>
    </row>
    <row r="20" spans="1:38" ht="6.75" customHeight="1" x14ac:dyDescent="0.25">
      <c r="A20" s="276"/>
      <c r="I20" s="282"/>
      <c r="J20" s="302"/>
      <c r="K20" s="280"/>
      <c r="L20" s="304"/>
      <c r="M20" s="304"/>
      <c r="N20" s="282"/>
      <c r="O20" s="669"/>
      <c r="P20" s="282"/>
      <c r="Q20" s="282"/>
      <c r="R20" s="282"/>
      <c r="S20" s="352"/>
      <c r="T20" s="718"/>
      <c r="U20" s="718"/>
      <c r="V20" s="718"/>
      <c r="W20" s="718"/>
      <c r="X20" s="718"/>
      <c r="Y20" s="718"/>
      <c r="Z20" s="718"/>
      <c r="AA20" s="718"/>
      <c r="AB20" s="718"/>
      <c r="AC20" s="718"/>
      <c r="AD20" s="356"/>
      <c r="AF20" s="335"/>
      <c r="AG20" s="409"/>
      <c r="AH20" s="335"/>
      <c r="AI20" s="428"/>
      <c r="AJ20" s="428"/>
      <c r="AK20" s="335"/>
      <c r="AL20" s="335"/>
    </row>
    <row r="21" spans="1:38" ht="12.75" customHeight="1" x14ac:dyDescent="0.25">
      <c r="A21" s="288"/>
      <c r="B21" s="285" t="s">
        <v>390</v>
      </c>
      <c r="C21" s="285"/>
      <c r="D21" s="285"/>
      <c r="E21" s="285"/>
      <c r="F21" s="285"/>
      <c r="G21" s="285"/>
      <c r="H21" s="285"/>
      <c r="I21" s="382"/>
      <c r="J21" s="294"/>
      <c r="K21" s="280"/>
      <c r="L21" s="283">
        <f>ROUND(VLOOKUP(J21,TabelLøn,+L14,1)*TællerNyLøn/$M$10,2)</f>
        <v>0</v>
      </c>
      <c r="M21" s="284">
        <f>L21*12</f>
        <v>0</v>
      </c>
      <c r="N21" s="293"/>
      <c r="O21" s="669"/>
      <c r="P21" s="293"/>
      <c r="Q21" s="293"/>
      <c r="S21" s="352"/>
      <c r="T21" s="718"/>
      <c r="U21" s="718"/>
      <c r="V21" s="718"/>
      <c r="W21" s="718"/>
      <c r="X21" s="718"/>
      <c r="Y21" s="718"/>
      <c r="Z21" s="718"/>
      <c r="AA21" s="718"/>
      <c r="AB21" s="718"/>
      <c r="AC21" s="718"/>
      <c r="AD21" s="356"/>
      <c r="AF21" s="335"/>
      <c r="AG21" s="409" t="e">
        <f>+VLOOKUP(Y17,Vejledning!A:AP,10,1)</f>
        <v>#N/A</v>
      </c>
      <c r="AH21" s="335"/>
      <c r="AI21" s="428" t="e">
        <f>+VLOOKUP(Y17,Vejledning!A:AV,11,1)</f>
        <v>#N/A</v>
      </c>
      <c r="AJ21" s="428"/>
      <c r="AK21" s="335"/>
      <c r="AL21" s="335"/>
    </row>
    <row r="22" spans="1:38" ht="12.75" customHeight="1" x14ac:dyDescent="0.25">
      <c r="A22" s="288"/>
      <c r="B22" s="285"/>
      <c r="C22" s="290" t="s">
        <v>389</v>
      </c>
      <c r="D22" s="285"/>
      <c r="E22" s="285"/>
      <c r="F22" s="285"/>
      <c r="G22" s="285"/>
      <c r="H22" s="286"/>
      <c r="I22" s="287"/>
      <c r="J22" s="391"/>
      <c r="K22" s="280"/>
      <c r="L22" s="283">
        <f>ROUND(I22/12*BeskGradNyLøn*(1+PctRegNyLøn%),2)</f>
        <v>0</v>
      </c>
      <c r="M22" s="284">
        <f>L22*12</f>
        <v>0</v>
      </c>
      <c r="N22" s="293"/>
      <c r="O22" s="669"/>
      <c r="P22" s="293"/>
      <c r="Q22" s="293"/>
      <c r="S22" s="353"/>
      <c r="T22" s="719"/>
      <c r="U22" s="719"/>
      <c r="V22" s="719"/>
      <c r="W22" s="719"/>
      <c r="X22" s="719"/>
      <c r="Y22" s="719"/>
      <c r="Z22" s="719"/>
      <c r="AA22" s="719"/>
      <c r="AB22" s="719"/>
      <c r="AC22" s="719"/>
      <c r="AD22" s="354"/>
      <c r="AF22" s="334"/>
      <c r="AH22" s="334"/>
      <c r="AI22" s="428"/>
      <c r="AJ22" s="428"/>
      <c r="AK22" s="334"/>
      <c r="AL22" s="334"/>
    </row>
    <row r="23" spans="1:38" ht="6" customHeight="1" x14ac:dyDescent="0.25">
      <c r="A23" s="288"/>
      <c r="B23" s="288"/>
      <c r="C23" s="288"/>
      <c r="D23" s="288"/>
      <c r="E23" s="288"/>
      <c r="F23" s="288"/>
      <c r="G23" s="288"/>
      <c r="H23" s="288"/>
      <c r="I23" s="298"/>
      <c r="J23" s="280"/>
      <c r="K23" s="280"/>
      <c r="L23" s="298"/>
      <c r="M23" s="298"/>
      <c r="N23" s="288"/>
      <c r="O23" s="669"/>
      <c r="P23" s="288"/>
      <c r="Q23" s="288"/>
      <c r="R23" s="288"/>
      <c r="S23" s="640" t="s">
        <v>423</v>
      </c>
      <c r="T23" s="640"/>
      <c r="U23" s="640"/>
      <c r="V23" s="640"/>
      <c r="W23" s="640"/>
      <c r="X23" s="640"/>
      <c r="Y23" s="640"/>
      <c r="Z23" s="640"/>
      <c r="AA23" s="640"/>
      <c r="AB23" s="640"/>
      <c r="AC23" s="640"/>
      <c r="AD23" s="640"/>
      <c r="AF23" s="334"/>
      <c r="AH23" s="334"/>
      <c r="AI23" s="428"/>
      <c r="AJ23" s="428"/>
      <c r="AK23" s="334"/>
      <c r="AL23" s="334"/>
    </row>
    <row r="24" spans="1:38" ht="12.75" customHeight="1" x14ac:dyDescent="0.25">
      <c r="A24" s="288"/>
      <c r="B24" s="297" t="s">
        <v>789</v>
      </c>
      <c r="C24" s="297"/>
      <c r="D24" s="297"/>
      <c r="E24" s="276"/>
      <c r="F24" s="276"/>
      <c r="G24" s="276"/>
      <c r="H24" s="276"/>
      <c r="I24" s="276"/>
      <c r="J24" s="280"/>
      <c r="K24" s="280"/>
      <c r="L24" s="276"/>
      <c r="M24" s="276"/>
      <c r="N24" s="276"/>
      <c r="O24" s="669"/>
      <c r="P24" s="276"/>
      <c r="Q24" s="276"/>
      <c r="R24" s="276"/>
      <c r="S24" s="640"/>
      <c r="T24" s="640"/>
      <c r="U24" s="640"/>
      <c r="V24" s="640"/>
      <c r="W24" s="640"/>
      <c r="X24" s="640"/>
      <c r="Y24" s="640"/>
      <c r="Z24" s="640"/>
      <c r="AA24" s="640"/>
      <c r="AB24" s="640"/>
      <c r="AC24" s="640"/>
      <c r="AD24" s="640"/>
      <c r="AF24" s="334"/>
      <c r="AG24" s="427" t="e">
        <f>+VLOOKUP(Y17,Vejledning!A:AP,12,1)</f>
        <v>#N/A</v>
      </c>
      <c r="AH24" s="334"/>
      <c r="AI24" s="428" t="e">
        <f>+VLOOKUP(Y17,Vejledning!A:AV,13,1)</f>
        <v>#N/A</v>
      </c>
      <c r="AJ24" s="428"/>
      <c r="AK24" s="334"/>
      <c r="AL24" s="334"/>
    </row>
    <row r="25" spans="1:38" ht="6" customHeight="1" x14ac:dyDescent="0.25">
      <c r="A25" s="288"/>
      <c r="B25" s="276"/>
      <c r="C25" s="299" t="s">
        <v>387</v>
      </c>
      <c r="K25" s="280"/>
      <c r="O25" s="669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F25" s="334"/>
      <c r="AH25" s="334"/>
      <c r="AI25" s="428"/>
      <c r="AJ25" s="428"/>
      <c r="AK25" s="334"/>
      <c r="AL25" s="334"/>
    </row>
    <row r="26" spans="1:38" ht="12.75" customHeight="1" x14ac:dyDescent="0.25">
      <c r="A26" s="288"/>
      <c r="B26" s="276"/>
      <c r="C26" s="277" t="s">
        <v>394</v>
      </c>
      <c r="D26" s="276"/>
      <c r="E26" s="276"/>
      <c r="F26" s="276"/>
      <c r="G26" s="276"/>
      <c r="H26" s="276"/>
      <c r="I26" s="382"/>
      <c r="J26" s="294"/>
      <c r="K26" s="280"/>
      <c r="L26" s="283">
        <f>ROUND((VLOOKUP($J$21+J26,TabelLøn,+L14,1)-VLOOKUP($J$21,TabelLøn,+L14,1))*BeskGradNyLøn,2)</f>
        <v>0</v>
      </c>
      <c r="M26" s="284">
        <f>L26*12</f>
        <v>0</v>
      </c>
      <c r="N26" s="671" t="s">
        <v>768</v>
      </c>
      <c r="O26" s="672"/>
      <c r="P26" s="672"/>
      <c r="Q26" s="672"/>
      <c r="R26" s="673"/>
      <c r="S26" s="632"/>
      <c r="T26" s="633"/>
      <c r="U26" s="633"/>
      <c r="V26" s="633"/>
      <c r="W26" s="633"/>
      <c r="X26" s="633"/>
      <c r="Y26" s="633"/>
      <c r="Z26" s="633"/>
      <c r="AA26" s="633"/>
      <c r="AB26" s="633"/>
      <c r="AC26" s="633"/>
      <c r="AD26" s="634"/>
      <c r="AF26" s="334"/>
      <c r="AK26" s="334"/>
      <c r="AL26" s="334"/>
    </row>
    <row r="27" spans="1:38" ht="12.75" customHeight="1" x14ac:dyDescent="0.25">
      <c r="A27" s="288"/>
      <c r="B27" s="276"/>
      <c r="C27" s="277" t="s">
        <v>395</v>
      </c>
      <c r="D27" s="276"/>
      <c r="E27" s="276"/>
      <c r="F27" s="276"/>
      <c r="G27" s="276"/>
      <c r="H27" s="289"/>
      <c r="I27" s="287"/>
      <c r="J27" s="386"/>
      <c r="K27" s="280"/>
      <c r="L27" s="283">
        <f>IF(P27=1,ROUND(I27/12*BeskGradNyLøn*(1+PctRegNyLøn%),2),(ROUND((1+PctRegNyLøn%)*I27/12,2)))</f>
        <v>0</v>
      </c>
      <c r="M27" s="284">
        <f>L27*12</f>
        <v>0</v>
      </c>
      <c r="N27" s="293"/>
      <c r="O27" s="532"/>
      <c r="P27" s="528">
        <f t="shared" ref="P27" si="0">IF(O27="x",0,1)</f>
        <v>1</v>
      </c>
      <c r="Q27" s="293"/>
      <c r="S27" s="632"/>
      <c r="T27" s="633"/>
      <c r="U27" s="633"/>
      <c r="V27" s="633"/>
      <c r="W27" s="633"/>
      <c r="X27" s="633"/>
      <c r="Y27" s="633"/>
      <c r="Z27" s="633"/>
      <c r="AA27" s="633"/>
      <c r="AB27" s="633"/>
      <c r="AC27" s="633"/>
      <c r="AD27" s="634"/>
      <c r="AF27" s="334"/>
      <c r="AG27" s="427" t="e">
        <f>+VLOOKUP(Y17,Vejledning!A:AP,14,1)</f>
        <v>#N/A</v>
      </c>
      <c r="AH27" s="334"/>
      <c r="AI27" s="428" t="e">
        <f>+VLOOKUP(Y17,Vejledning!A:AV,15,1)</f>
        <v>#N/A</v>
      </c>
      <c r="AJ27" s="428"/>
      <c r="AK27" s="334"/>
      <c r="AL27" s="334"/>
    </row>
    <row r="28" spans="1:38" ht="6" customHeight="1" x14ac:dyDescent="0.25">
      <c r="A28" s="288"/>
      <c r="B28" s="276"/>
      <c r="C28" s="299" t="s">
        <v>387</v>
      </c>
      <c r="K28" s="280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F28" s="334"/>
      <c r="AH28" s="334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ROUND((VLOOKUP($J$21+J26+J29,TabelLøn,+L14,1)-VLOOKUP($J$21+J26,TabelLøn,+L14,1))*BeskGradNyLøn,2)</f>
        <v>0</v>
      </c>
      <c r="M29" s="284">
        <f t="shared" ref="M29:M35" si="1">L29*12</f>
        <v>0</v>
      </c>
      <c r="N29" s="293"/>
      <c r="O29" s="293"/>
      <c r="P29" s="293"/>
      <c r="Q29" s="293"/>
      <c r="S29" s="632"/>
      <c r="T29" s="633"/>
      <c r="U29" s="633"/>
      <c r="V29" s="633"/>
      <c r="W29" s="633"/>
      <c r="X29" s="633"/>
      <c r="Y29" s="633"/>
      <c r="Z29" s="633"/>
      <c r="AA29" s="633"/>
      <c r="AB29" s="633"/>
      <c r="AC29" s="633"/>
      <c r="AD29" s="634"/>
      <c r="AF29" s="334"/>
      <c r="AG29" s="427" t="e">
        <f>+VLOOKUP(Y17,Vejledning!A:AP,16,1)</f>
        <v>#N/A</v>
      </c>
      <c r="AH29" s="334"/>
      <c r="AI29" s="428" t="e">
        <f>+VLOOKUP(Y17,Vejledning!A:AV,17,1)</f>
        <v>#N/A</v>
      </c>
      <c r="AJ29" s="428"/>
      <c r="AK29" s="334"/>
      <c r="AL29" s="334"/>
    </row>
    <row r="30" spans="1:38" ht="12.75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3"/>
      <c r="J30" s="294"/>
      <c r="K30" s="280"/>
      <c r="L30" s="283">
        <f>ROUND((VLOOKUP($J$21+J26+J29+J30,TabelLøn,+L14,1)-VLOOKUP($J$21+J26+J29,TabelLøn,+L14,1))*BeskGradNyLøn,2)</f>
        <v>0</v>
      </c>
      <c r="M30" s="284">
        <f t="shared" si="1"/>
        <v>0</v>
      </c>
      <c r="N30" s="293"/>
      <c r="O30" s="293"/>
      <c r="P30" s="293"/>
      <c r="Q30" s="293"/>
      <c r="S30" s="632"/>
      <c r="T30" s="633"/>
      <c r="U30" s="633"/>
      <c r="V30" s="633"/>
      <c r="W30" s="633"/>
      <c r="X30" s="633"/>
      <c r="Y30" s="633"/>
      <c r="Z30" s="633"/>
      <c r="AA30" s="633"/>
      <c r="AB30" s="633"/>
      <c r="AC30" s="633"/>
      <c r="AD30" s="634"/>
      <c r="AF30" s="334"/>
      <c r="AG30" s="427" t="e">
        <f>+VLOOKUP(Y17,Vejledning!A:AP,18,1)</f>
        <v>#N/A</v>
      </c>
      <c r="AH30" s="334"/>
      <c r="AI30" s="428" t="e">
        <f>+VLOOKUP(Y17,Vejledning!A:AV,19,1)</f>
        <v>#N/A</v>
      </c>
      <c r="AJ30" s="428"/>
      <c r="AK30" s="334"/>
      <c r="AL30" s="334"/>
    </row>
    <row r="31" spans="1:38" ht="12.75" customHeight="1" x14ac:dyDescent="0.25">
      <c r="A31" s="288"/>
      <c r="B31" s="276"/>
      <c r="C31" s="277" t="s">
        <v>392</v>
      </c>
      <c r="D31" s="276"/>
      <c r="E31" s="276"/>
      <c r="F31" s="276"/>
      <c r="G31" s="276"/>
      <c r="H31" s="276"/>
      <c r="I31" s="382"/>
      <c r="J31" s="294"/>
      <c r="K31" s="280"/>
      <c r="L31" s="283">
        <f>ROUND((VLOOKUP($J$21+J26+J29+J30+J31,TabelLøn,+L14,1)-VLOOKUP($J$21+J26+J29+J30,TabelLøn,+L14,1))*BeskGradNyLøn,2)</f>
        <v>0</v>
      </c>
      <c r="M31" s="284">
        <f t="shared" si="1"/>
        <v>0</v>
      </c>
      <c r="N31" s="293"/>
      <c r="O31" s="293"/>
      <c r="P31" s="293"/>
      <c r="Q31" s="293"/>
      <c r="S31" s="632"/>
      <c r="T31" s="633"/>
      <c r="U31" s="633"/>
      <c r="V31" s="633"/>
      <c r="W31" s="633"/>
      <c r="X31" s="633"/>
      <c r="Y31" s="633"/>
      <c r="Z31" s="633"/>
      <c r="AA31" s="633"/>
      <c r="AB31" s="633"/>
      <c r="AC31" s="633"/>
      <c r="AD31" s="634"/>
      <c r="AF31" s="334"/>
      <c r="AH31" s="334"/>
      <c r="AK31" s="334"/>
      <c r="AL31" s="334"/>
    </row>
    <row r="32" spans="1:38" ht="12.75" hidden="1" customHeight="1" x14ac:dyDescent="0.25">
      <c r="A32" s="288"/>
      <c r="B32" s="276"/>
      <c r="C32" s="277" t="s">
        <v>393</v>
      </c>
      <c r="D32" s="276"/>
      <c r="E32" s="276"/>
      <c r="F32" s="276"/>
      <c r="G32" s="276"/>
      <c r="H32" s="289"/>
      <c r="I32" s="287"/>
      <c r="J32" s="384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5" si="2">IF(O32="x",0,1)</f>
        <v>1</v>
      </c>
      <c r="Q32" s="293"/>
      <c r="S32" s="632"/>
      <c r="T32" s="633"/>
      <c r="U32" s="633"/>
      <c r="V32" s="633"/>
      <c r="W32" s="633"/>
      <c r="X32" s="633"/>
      <c r="Y32" s="633"/>
      <c r="Z32" s="633"/>
      <c r="AA32" s="633"/>
      <c r="AB32" s="633"/>
      <c r="AC32" s="633"/>
      <c r="AD32" s="634"/>
      <c r="AF32" s="334"/>
      <c r="AG32" s="427" t="e">
        <f>+VLOOKUP(Y17,Vejledning!A:AP,20,1)</f>
        <v>#N/A</v>
      </c>
      <c r="AH32" s="334"/>
      <c r="AI32" s="428" t="e">
        <f>+VLOOKUP(Y17,Vejledning!A:AV,21,1)</f>
        <v>#N/A</v>
      </c>
      <c r="AK32" s="334"/>
      <c r="AL32" s="334"/>
    </row>
    <row r="33" spans="1:38" ht="12.75" customHeight="1" x14ac:dyDescent="0.25">
      <c r="A33" s="288"/>
      <c r="B33" s="276"/>
      <c r="C33" s="277" t="s">
        <v>393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 t="s">
        <v>7</v>
      </c>
      <c r="P33" s="528">
        <f t="shared" si="2"/>
        <v>1</v>
      </c>
      <c r="Q33" s="293"/>
      <c r="S33" s="632"/>
      <c r="T33" s="633"/>
      <c r="U33" s="633"/>
      <c r="V33" s="633"/>
      <c r="W33" s="633"/>
      <c r="X33" s="633"/>
      <c r="Y33" s="633"/>
      <c r="Z33" s="633"/>
      <c r="AA33" s="633"/>
      <c r="AB33" s="633"/>
      <c r="AC33" s="633"/>
      <c r="AD33" s="634"/>
      <c r="AF33" s="334"/>
      <c r="AH33" s="334"/>
      <c r="AK33" s="334"/>
      <c r="AL33" s="334"/>
    </row>
    <row r="34" spans="1:38" ht="12.75" customHeight="1" x14ac:dyDescent="0.25">
      <c r="A34" s="288"/>
      <c r="B34" s="276"/>
      <c r="C34" s="277" t="s">
        <v>393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 t="s">
        <v>7</v>
      </c>
      <c r="P34" s="528">
        <f t="shared" si="2"/>
        <v>1</v>
      </c>
      <c r="Q34" s="293"/>
      <c r="S34" s="632"/>
      <c r="T34" s="633"/>
      <c r="U34" s="633"/>
      <c r="V34" s="633"/>
      <c r="W34" s="633"/>
      <c r="X34" s="633"/>
      <c r="Y34" s="633"/>
      <c r="Z34" s="633"/>
      <c r="AA34" s="633"/>
      <c r="AB34" s="633"/>
      <c r="AC34" s="633"/>
      <c r="AD34" s="634"/>
      <c r="AF34" s="334"/>
      <c r="AG34" s="427" t="e">
        <f>+VLOOKUP(Y17,Vejledning!A:AP,22,1)</f>
        <v>#N/A</v>
      </c>
      <c r="AH34" s="334"/>
      <c r="AI34" s="428" t="e">
        <f>+VLOOKUP(Y17,Vejledning!A:AV,23,1)</f>
        <v>#N/A</v>
      </c>
      <c r="AK34" s="334"/>
      <c r="AL34" s="334"/>
    </row>
    <row r="35" spans="1:38" ht="12.75" customHeight="1" x14ac:dyDescent="0.25">
      <c r="A35" s="288"/>
      <c r="B35" s="276"/>
      <c r="C35" s="277" t="s">
        <v>393</v>
      </c>
      <c r="D35" s="276"/>
      <c r="E35" s="276"/>
      <c r="F35" s="276"/>
      <c r="G35" s="276"/>
      <c r="H35" s="289"/>
      <c r="I35" s="287"/>
      <c r="J35" s="385"/>
      <c r="K35" s="280"/>
      <c r="L35" s="283">
        <f>IF(P35=1,ROUND(I35/12*BeskGradNyLøn*(1+PctRegNyLøn%),2),(ROUND((1+PctRegNyLøn%)*I35/12,2)))</f>
        <v>0</v>
      </c>
      <c r="M35" s="284">
        <f t="shared" si="1"/>
        <v>0</v>
      </c>
      <c r="N35" s="293"/>
      <c r="O35" s="532"/>
      <c r="P35" s="528">
        <f t="shared" si="2"/>
        <v>1</v>
      </c>
      <c r="Q35" s="293"/>
      <c r="S35" s="632"/>
      <c r="T35" s="633"/>
      <c r="U35" s="633"/>
      <c r="V35" s="633"/>
      <c r="W35" s="633"/>
      <c r="X35" s="633"/>
      <c r="Y35" s="633"/>
      <c r="Z35" s="633"/>
      <c r="AA35" s="633"/>
      <c r="AB35" s="633"/>
      <c r="AC35" s="633"/>
      <c r="AD35" s="634"/>
      <c r="AF35" s="334"/>
      <c r="AH35" s="334"/>
      <c r="AK35" s="334"/>
      <c r="AL35" s="334"/>
    </row>
    <row r="36" spans="1:38" ht="6" customHeight="1" x14ac:dyDescent="0.25">
      <c r="A36" s="288"/>
      <c r="B36" s="276"/>
      <c r="K36" s="280"/>
      <c r="P36" s="529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F36" s="334"/>
      <c r="AH36" s="334"/>
      <c r="AK36" s="334"/>
      <c r="AL36" s="334"/>
    </row>
    <row r="37" spans="1:38" ht="12.75" customHeight="1" x14ac:dyDescent="0.25">
      <c r="A37" s="288"/>
      <c r="B37" s="276"/>
      <c r="C37" s="517" t="s">
        <v>402</v>
      </c>
      <c r="D37" s="516"/>
      <c r="E37" s="516"/>
      <c r="F37" s="516"/>
      <c r="G37" s="516"/>
      <c r="H37" s="518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>IF(O37="x",0,1)</f>
        <v>1</v>
      </c>
      <c r="Q37" s="293"/>
      <c r="S37" s="632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4"/>
      <c r="AF37" s="334"/>
      <c r="AG37" s="427" t="e">
        <f>+VLOOKUP(Y17,Vejledning!A:AP,24,1)</f>
        <v>#N/A</v>
      </c>
      <c r="AH37" s="334"/>
      <c r="AI37" s="427" t="e">
        <f>+VLOOKUP(Y17,Vejledning!A:AV,25,1)</f>
        <v>#N/A</v>
      </c>
      <c r="AK37" s="334"/>
      <c r="AL37" s="334"/>
    </row>
    <row r="38" spans="1:38" ht="12.75" customHeight="1" x14ac:dyDescent="0.25">
      <c r="A38" s="288"/>
      <c r="B38" s="276"/>
      <c r="C38" s="517" t="s">
        <v>391</v>
      </c>
      <c r="D38" s="516"/>
      <c r="E38" s="516"/>
      <c r="F38" s="516"/>
      <c r="G38" s="516"/>
      <c r="H38" s="518"/>
      <c r="I38" s="287"/>
      <c r="J38" s="385"/>
      <c r="K38" s="280"/>
      <c r="L38" s="283">
        <f>IF(P38=1,ROUND(I38/12*BeskGradNyLøn*(1+PctRegNyLøn%),2),(ROUND((1+PctRegNyLøn%)*I38/12,2)))</f>
        <v>0</v>
      </c>
      <c r="M38" s="284">
        <f>L38*12</f>
        <v>0</v>
      </c>
      <c r="N38" s="293"/>
      <c r="O38" s="532"/>
      <c r="P38" s="528">
        <f>IF(O38="x",0,1)</f>
        <v>1</v>
      </c>
      <c r="Q38" s="293"/>
      <c r="S38" s="632"/>
      <c r="T38" s="633"/>
      <c r="U38" s="633"/>
      <c r="V38" s="633"/>
      <c r="W38" s="633"/>
      <c r="X38" s="633"/>
      <c r="Y38" s="633"/>
      <c r="Z38" s="633"/>
      <c r="AA38" s="633"/>
      <c r="AB38" s="633"/>
      <c r="AC38" s="633"/>
      <c r="AD38" s="634"/>
      <c r="AF38" s="334"/>
      <c r="AH38" s="334"/>
      <c r="AK38" s="334"/>
      <c r="AL38" s="334"/>
    </row>
    <row r="39" spans="1:38" ht="6" customHeight="1" x14ac:dyDescent="0.25">
      <c r="A39" s="288"/>
      <c r="B39" s="276"/>
      <c r="C39" s="299" t="s">
        <v>387</v>
      </c>
      <c r="K39" s="280"/>
      <c r="P39" s="529"/>
      <c r="S39" s="694" t="s">
        <v>724</v>
      </c>
      <c r="T39" s="694"/>
      <c r="U39" s="694"/>
      <c r="V39" s="694"/>
      <c r="W39" s="694"/>
      <c r="X39" s="694"/>
      <c r="Y39" s="694"/>
      <c r="Z39" s="694"/>
      <c r="AA39" s="694"/>
      <c r="AB39" s="694"/>
      <c r="AC39" s="694"/>
      <c r="AD39" s="694"/>
      <c r="AF39" s="334"/>
      <c r="AH39" s="334"/>
      <c r="AK39" s="334"/>
      <c r="AL39" s="334"/>
    </row>
    <row r="40" spans="1:38" ht="12.75" customHeight="1" x14ac:dyDescent="0.25">
      <c r="A40" s="288"/>
      <c r="B40" s="297" t="s">
        <v>790</v>
      </c>
      <c r="C40" s="276"/>
      <c r="D40" s="276"/>
      <c r="E40" s="276"/>
      <c r="F40" s="276"/>
      <c r="G40" s="276"/>
      <c r="H40" s="276"/>
      <c r="I40" s="276"/>
      <c r="J40" s="280"/>
      <c r="K40" s="280"/>
      <c r="L40" s="276"/>
      <c r="M40" s="276"/>
      <c r="N40" s="276"/>
      <c r="O40" s="276"/>
      <c r="P40" s="530"/>
      <c r="Q40" s="276"/>
      <c r="S40" s="695"/>
      <c r="T40" s="695"/>
      <c r="U40" s="695"/>
      <c r="V40" s="695"/>
      <c r="W40" s="695"/>
      <c r="X40" s="695"/>
      <c r="Y40" s="695"/>
      <c r="Z40" s="695"/>
      <c r="AA40" s="695"/>
      <c r="AB40" s="695"/>
      <c r="AC40" s="695"/>
      <c r="AD40" s="695"/>
      <c r="AF40" s="334"/>
      <c r="AG40" s="427" t="e">
        <f>+VLOOKUP(Y17,Vejledning!A:AP,26,1)</f>
        <v>#N/A</v>
      </c>
      <c r="AH40" s="334"/>
      <c r="AI40" s="427" t="e">
        <f>+VLOOKUP(Y17,Vejledning!A:AV,27,1)</f>
        <v>#N/A</v>
      </c>
      <c r="AK40" s="334"/>
      <c r="AL40" s="334"/>
    </row>
    <row r="41" spans="1:38" ht="6" customHeight="1" x14ac:dyDescent="0.25">
      <c r="A41" s="288"/>
      <c r="B41" s="276"/>
      <c r="C41" s="299" t="s">
        <v>387</v>
      </c>
      <c r="K41" s="280"/>
      <c r="P41" s="529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F41" s="334"/>
      <c r="AH41" s="334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ROUND((VLOOKUP($J$21+J26+J29+J30+J31+J42,TabelLøn,+L14,1)-VLOOKUP($J$21+J26+J29+J30+J31,TabelLøn,+L14,1))*BeskGradNyLøn,2)</f>
        <v>0</v>
      </c>
      <c r="M42" s="284">
        <f>L42*12</f>
        <v>0</v>
      </c>
      <c r="N42" s="293"/>
      <c r="O42" s="293"/>
      <c r="P42" s="531"/>
      <c r="Q42" s="293"/>
      <c r="S42" s="632"/>
      <c r="T42" s="633"/>
      <c r="U42" s="633"/>
      <c r="V42" s="633"/>
      <c r="W42" s="633"/>
      <c r="X42" s="633"/>
      <c r="Y42" s="633"/>
      <c r="Z42" s="633"/>
      <c r="AA42" s="633"/>
      <c r="AB42" s="633"/>
      <c r="AC42" s="633"/>
      <c r="AD42" s="634"/>
      <c r="AF42" s="334"/>
      <c r="AG42" s="427" t="e">
        <f>+VLOOKUP(Y17,Vejledning!A:AP,28,1)</f>
        <v>#N/A</v>
      </c>
      <c r="AH42" s="334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ROUND((VLOOKUP($J$21+J26+J29+J30+J31+J42+J43,TabelLøn,+L14,1)-VLOOKUP($J$21+J26+J29+J30+J31+J42,TabelLøn,+L14,1))*BeskGradNyLøn,2)</f>
        <v>0</v>
      </c>
      <c r="M43" s="284">
        <f t="shared" ref="M43:M55" si="3">L43*12</f>
        <v>0</v>
      </c>
      <c r="N43" s="293"/>
      <c r="O43" s="293"/>
      <c r="P43" s="531"/>
      <c r="Q43" s="293"/>
      <c r="S43" s="632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4"/>
      <c r="AF43" s="334"/>
      <c r="AG43" s="427" t="e">
        <f>+VLOOKUP(Y17,Vejledning!A:AP,30,1)</f>
        <v>#N/A</v>
      </c>
      <c r="AH43" s="334"/>
      <c r="AK43" s="334"/>
      <c r="AL43" s="334"/>
    </row>
    <row r="44" spans="1:38" ht="12.75" customHeight="1" x14ac:dyDescent="0.25">
      <c r="A44" s="288"/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3"/>
        <v>0</v>
      </c>
      <c r="N44" s="293"/>
      <c r="O44" s="532"/>
      <c r="P44" s="528">
        <f>IF(O44="x",0,1)</f>
        <v>1</v>
      </c>
      <c r="Q44" s="293"/>
      <c r="S44" s="632"/>
      <c r="T44" s="633"/>
      <c r="U44" s="633"/>
      <c r="V44" s="633"/>
      <c r="W44" s="633"/>
      <c r="X44" s="633"/>
      <c r="Y44" s="633"/>
      <c r="Z44" s="633"/>
      <c r="AA44" s="633"/>
      <c r="AB44" s="633"/>
      <c r="AC44" s="633"/>
      <c r="AD44" s="634"/>
      <c r="AF44" s="334"/>
      <c r="AG44" s="427" t="e">
        <f>+VLOOKUP(Y17,Vejledning!A:AP,30,1)</f>
        <v>#N/A</v>
      </c>
      <c r="AH44" s="334"/>
      <c r="AI44" s="427" t="e">
        <f>+VLOOKUP(Y17,Vejledning!A:AV,31,1)</f>
        <v>#N/A</v>
      </c>
      <c r="AK44" s="334"/>
      <c r="AL44" s="334"/>
    </row>
    <row r="45" spans="1:38" ht="12.75" customHeight="1" x14ac:dyDescent="0.25">
      <c r="A45" s="288"/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 t="shared" si="3"/>
        <v>0</v>
      </c>
      <c r="N45" s="293"/>
      <c r="O45" s="532"/>
      <c r="P45" s="528">
        <f>IF(O45="x",0,1)</f>
        <v>1</v>
      </c>
      <c r="Q45" s="293"/>
      <c r="S45" s="632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4"/>
      <c r="AF45" s="334"/>
      <c r="AG45" s="427" t="e">
        <f>+VLOOKUP(Y17,Vejledning!A:AP,32,1)</f>
        <v>#N/A</v>
      </c>
      <c r="AH45" s="334"/>
      <c r="AI45" s="427" t="e">
        <f>+VLOOKUP(Y17,Vejledning!A:AV,33,1)</f>
        <v>#N/A</v>
      </c>
      <c r="AK45" s="334"/>
      <c r="AL45" s="334"/>
    </row>
    <row r="46" spans="1:38" ht="6" customHeight="1" x14ac:dyDescent="0.25">
      <c r="A46" s="288"/>
      <c r="B46" s="276"/>
      <c r="K46" s="280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F46" s="334"/>
      <c r="AH46" s="334"/>
      <c r="AK46" s="334"/>
      <c r="AL46" s="334"/>
    </row>
    <row r="47" spans="1:38" ht="12.75" customHeight="1" x14ac:dyDescent="0.25">
      <c r="A47" s="288"/>
      <c r="B47" s="276"/>
      <c r="C47" s="277" t="s">
        <v>400</v>
      </c>
      <c r="D47" s="276"/>
      <c r="E47" s="276"/>
      <c r="F47" s="276"/>
      <c r="G47" s="276"/>
      <c r="H47" s="276"/>
      <c r="I47" s="383"/>
      <c r="J47" s="294"/>
      <c r="K47" s="280"/>
      <c r="L47" s="283">
        <f>ROUND((VLOOKUP($J$21+J26+J29+J30+J31+J42+J43+J47,TabelLøn,+L14,1)-VLOOKUP($J$21+J26+J29+J30+J31+J42+J43,TabelLøn,+L14,1))*BeskGradNyLøn,2)</f>
        <v>0</v>
      </c>
      <c r="M47" s="284">
        <f>L47*12</f>
        <v>0</v>
      </c>
      <c r="N47" s="293"/>
      <c r="O47" s="293"/>
      <c r="P47" s="293"/>
      <c r="Q47" s="293"/>
      <c r="S47" s="632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4"/>
      <c r="AF47" s="334"/>
      <c r="AH47" s="334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ROUND((VLOOKUP($J$21+J26+J29+J30+J31+J42+J43+J47+J48,TabelLøn,+L14,1)-VLOOKUP($J$21+J26+J29+J30+J31+J42+J43+J47,TabelLøn,+L14,1))*BeskGradNyLøn,2)</f>
        <v>0</v>
      </c>
      <c r="M48" s="284">
        <f>L48*12</f>
        <v>0</v>
      </c>
      <c r="N48" s="293"/>
      <c r="O48" s="293"/>
      <c r="P48" s="293"/>
      <c r="Q48" s="293"/>
      <c r="S48" s="632"/>
      <c r="T48" s="633"/>
      <c r="U48" s="633"/>
      <c r="V48" s="633"/>
      <c r="W48" s="633"/>
      <c r="X48" s="633"/>
      <c r="Y48" s="633"/>
      <c r="Z48" s="633"/>
      <c r="AA48" s="633"/>
      <c r="AB48" s="633"/>
      <c r="AC48" s="633"/>
      <c r="AD48" s="634"/>
      <c r="AF48" s="334"/>
      <c r="AG48" s="427" t="e">
        <f>+VLOOKUP(Y17,Vejledning!A:AP,34,1)</f>
        <v>#N/A</v>
      </c>
      <c r="AH48" s="334"/>
      <c r="AI48" s="427" t="e">
        <f>+VLOOKUP(Y17,Vejledning!A:AV,35,1)</f>
        <v>#N/A</v>
      </c>
      <c r="AK48" s="334"/>
      <c r="AL48" s="334"/>
    </row>
    <row r="49" spans="1:38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ROUND((VLOOKUP($J$21+J26+J29+J30+J31+J42+J43+J47+J48+J49,TabelLøn,+L14,1)-VLOOKUP($J$21+J26+J29+J30+J31+J42+J43+J47+J48,TabelLøn,+L14,1))*BeskGradNyLøn,2)</f>
        <v>0</v>
      </c>
      <c r="M49" s="284">
        <f>L49*12</f>
        <v>0</v>
      </c>
      <c r="N49" s="293"/>
      <c r="O49" s="293"/>
      <c r="P49" s="293"/>
      <c r="Q49" s="293"/>
      <c r="S49" s="632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4"/>
      <c r="AF49" s="334"/>
      <c r="AH49" s="334"/>
      <c r="AK49" s="334"/>
      <c r="AL49" s="334"/>
    </row>
    <row r="50" spans="1:38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ROUND((VLOOKUP($J$21+J26+J29+J30+J31+J42+J43+J47+J48+J49+J50,TabelLøn,+L14,1)-VLOOKUP($J$21+J26+J29+J30+J31+J42+J43+J47+J48+J49,TabelLøn,+L14,1))*BeskGradNyLøn,2)</f>
        <v>0</v>
      </c>
      <c r="M50" s="284">
        <f>L50*12</f>
        <v>0</v>
      </c>
      <c r="N50" s="293"/>
      <c r="O50" s="293"/>
      <c r="P50" s="293"/>
      <c r="Q50" s="293"/>
      <c r="S50" s="545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7"/>
      <c r="AF50" s="334"/>
      <c r="AH50" s="334"/>
      <c r="AK50" s="334"/>
      <c r="AL50" s="334"/>
    </row>
    <row r="51" spans="1:38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I51" s="383"/>
      <c r="J51" s="294"/>
      <c r="K51" s="280"/>
      <c r="L51" s="283">
        <f>ROUND((VLOOKUP($J$21+J26+J29+J30+J31+J42+J43+J47+J48+J49+J50+J51,TabelLøn,+L14,1)-VLOOKUP($J$21+J26+J29+J30+J31+J42+J43+J47+J48+J49+J50,TabelLøn,+L14,1))*BeskGradNyLøn,2)</f>
        <v>0</v>
      </c>
      <c r="M51" s="284">
        <f>L51*12</f>
        <v>0</v>
      </c>
      <c r="N51" s="293"/>
      <c r="O51" s="293"/>
      <c r="P51" s="293"/>
      <c r="Q51" s="293"/>
      <c r="S51" s="545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7"/>
      <c r="AF51" s="334"/>
      <c r="AH51" s="334"/>
      <c r="AK51" s="334"/>
      <c r="AL51" s="334"/>
    </row>
    <row r="52" spans="1:38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2"/>
      <c r="J52" s="294"/>
      <c r="K52" s="280"/>
      <c r="L52" s="283">
        <f>ROUND((VLOOKUP($J$21+J26+J29+J30+J31+J42+J43+J47+J48+J49+J50+J51+J52,TabelLøn,+L14,1)-VLOOKUP($J$21+J26+J29+J30+J31+J42+J43+J47+J48+J49+J50+J51,TabelLøn,+L14,1))*BeskGradNyLøn,2)</f>
        <v>0</v>
      </c>
      <c r="M52" s="284">
        <f t="shared" si="3"/>
        <v>0</v>
      </c>
      <c r="N52" s="293"/>
      <c r="O52" s="293"/>
      <c r="P52" s="293"/>
      <c r="Q52" s="293"/>
      <c r="S52" s="632"/>
      <c r="T52" s="633"/>
      <c r="U52" s="633"/>
      <c r="V52" s="633"/>
      <c r="W52" s="633"/>
      <c r="X52" s="633"/>
      <c r="Y52" s="633"/>
      <c r="Z52" s="633"/>
      <c r="AA52" s="633"/>
      <c r="AB52" s="633"/>
      <c r="AC52" s="633"/>
      <c r="AD52" s="634"/>
      <c r="AF52" s="334"/>
      <c r="AG52" s="427" t="e">
        <f>+VLOOKUP(Y17,Vejledning!A:AP,36,1)</f>
        <v>#N/A</v>
      </c>
      <c r="AH52" s="334"/>
      <c r="AI52" s="427" t="e">
        <f>+VLOOKUP(Y17,Vejledning!A:AV,37,1)</f>
        <v>#N/A</v>
      </c>
      <c r="AK52" s="334"/>
      <c r="AL52" s="334"/>
    </row>
    <row r="53" spans="1:38" ht="12.75" customHeight="1" x14ac:dyDescent="0.25">
      <c r="A53" s="288"/>
      <c r="B53" s="276"/>
      <c r="C53" s="277" t="s">
        <v>401</v>
      </c>
      <c r="D53" s="276"/>
      <c r="E53" s="276"/>
      <c r="F53" s="276"/>
      <c r="G53" s="276"/>
      <c r="H53" s="289"/>
      <c r="I53" s="287"/>
      <c r="J53" s="386"/>
      <c r="K53" s="280"/>
      <c r="L53" s="283">
        <f>IF(P53=1,ROUND(I53/12*BeskGradNyLøn*(1+PctRegNyLøn%),2),(ROUND((1+PctRegNyLøn%)*I53/12,2)))</f>
        <v>0</v>
      </c>
      <c r="M53" s="284">
        <f>L53*12</f>
        <v>0</v>
      </c>
      <c r="N53" s="293"/>
      <c r="O53" s="532"/>
      <c r="P53" s="528">
        <f>IF(O53="x",0,1)</f>
        <v>1</v>
      </c>
      <c r="Q53" s="293"/>
      <c r="S53" s="632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4"/>
      <c r="AF53" s="334"/>
      <c r="AH53" s="334"/>
      <c r="AK53" s="334"/>
      <c r="AL53" s="334"/>
    </row>
    <row r="54" spans="1:38" ht="12.75" customHeight="1" x14ac:dyDescent="0.25">
      <c r="A54" s="288"/>
      <c r="B54" s="276"/>
      <c r="C54" s="277" t="s">
        <v>401</v>
      </c>
      <c r="D54" s="276"/>
      <c r="E54" s="276"/>
      <c r="F54" s="276"/>
      <c r="G54" s="276"/>
      <c r="H54" s="289"/>
      <c r="I54" s="287"/>
      <c r="J54" s="387"/>
      <c r="K54" s="280"/>
      <c r="L54" s="283">
        <f>IF(P54=1,ROUND(I54/12*BeskGradNyLøn*(1+PctRegNyLøn%),2),(ROUND((1+PctRegNyLøn%)*I54/12,2)))</f>
        <v>0</v>
      </c>
      <c r="M54" s="284">
        <f>L54*12</f>
        <v>0</v>
      </c>
      <c r="N54" s="293"/>
      <c r="O54" s="532"/>
      <c r="P54" s="528">
        <f>IF(O54="x",0,1)</f>
        <v>1</v>
      </c>
      <c r="Q54" s="293"/>
      <c r="S54" s="632"/>
      <c r="T54" s="633"/>
      <c r="U54" s="633"/>
      <c r="V54" s="633"/>
      <c r="W54" s="633"/>
      <c r="X54" s="633"/>
      <c r="Y54" s="633"/>
      <c r="Z54" s="633"/>
      <c r="AA54" s="633"/>
      <c r="AB54" s="633"/>
      <c r="AC54" s="633"/>
      <c r="AD54" s="634"/>
      <c r="AF54" s="334"/>
      <c r="AH54" s="334"/>
      <c r="AK54" s="334"/>
      <c r="AL54" s="334"/>
    </row>
    <row r="55" spans="1:38" ht="12.75" customHeight="1" x14ac:dyDescent="0.25">
      <c r="A55" s="288"/>
      <c r="B55" s="276"/>
      <c r="C55" s="277" t="s">
        <v>401</v>
      </c>
      <c r="D55" s="276"/>
      <c r="E55" s="276"/>
      <c r="F55" s="276"/>
      <c r="G55" s="276"/>
      <c r="H55" s="289"/>
      <c r="I55" s="287"/>
      <c r="J55" s="387"/>
      <c r="K55" s="280"/>
      <c r="L55" s="283">
        <f>IF(P55=1,ROUND(I55/12*BeskGradNyLøn*(1+PctRegNyLøn%),2),(ROUND((1+PctRegNyLøn%)*I55/12,2)))</f>
        <v>0</v>
      </c>
      <c r="M55" s="284">
        <f t="shared" si="3"/>
        <v>0</v>
      </c>
      <c r="N55" s="293"/>
      <c r="O55" s="532"/>
      <c r="P55" s="528">
        <f>IF(O55="x",0,1)</f>
        <v>1</v>
      </c>
      <c r="Q55" s="293"/>
      <c r="S55" s="632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4"/>
      <c r="AF55" s="334"/>
      <c r="AG55" s="427" t="e">
        <f>+VLOOKUP(Y17,Vejledning!A:AP,40,1)</f>
        <v>#N/A</v>
      </c>
      <c r="AH55" s="334"/>
      <c r="AI55" s="427" t="e">
        <f>+VLOOKUP(Y17,Vejledning!A:AV,41,1)</f>
        <v>#N/A</v>
      </c>
      <c r="AK55" s="334"/>
      <c r="AL55" s="334"/>
    </row>
    <row r="56" spans="1:38" ht="6" customHeight="1" x14ac:dyDescent="0.25">
      <c r="A56" s="288"/>
      <c r="B56" s="276"/>
      <c r="K56" s="280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F56" s="334"/>
      <c r="AH56" s="334"/>
      <c r="AK56" s="334"/>
      <c r="AL56" s="334"/>
    </row>
    <row r="57" spans="1:38" ht="12.75" customHeight="1" x14ac:dyDescent="0.25">
      <c r="A57" s="288"/>
      <c r="B57" s="285" t="s">
        <v>410</v>
      </c>
      <c r="C57" s="291"/>
      <c r="D57" s="291"/>
      <c r="E57" s="291"/>
      <c r="F57" s="291"/>
      <c r="G57" s="291"/>
      <c r="H57" s="292"/>
      <c r="I57" s="328">
        <f>SUM(I21:I56)</f>
        <v>0</v>
      </c>
      <c r="J57" s="329">
        <f>SUM(J21:J56)</f>
        <v>0</v>
      </c>
      <c r="K57" s="390"/>
      <c r="L57" s="312">
        <f>SUM(L21:L56)</f>
        <v>0</v>
      </c>
      <c r="M57" s="284">
        <f>SUM(M21:M56)</f>
        <v>0</v>
      </c>
      <c r="N57" s="293"/>
      <c r="O57" s="293"/>
      <c r="P57" s="293"/>
      <c r="Q57" s="293"/>
      <c r="U57" s="290"/>
      <c r="V57" s="290"/>
      <c r="AF57" s="334"/>
      <c r="AG57" s="291"/>
      <c r="AH57" s="334"/>
      <c r="AI57" s="720"/>
      <c r="AJ57" s="720"/>
      <c r="AK57" s="334"/>
      <c r="AL57" s="334"/>
    </row>
    <row r="58" spans="1:38" ht="6" customHeight="1" x14ac:dyDescent="0.25">
      <c r="A58" s="288"/>
      <c r="B58" s="276"/>
      <c r="S58" s="303"/>
      <c r="T58" s="303"/>
      <c r="U58" s="290"/>
      <c r="V58" s="290"/>
      <c r="W58" s="303"/>
      <c r="X58" s="303"/>
      <c r="Y58" s="303"/>
      <c r="Z58" s="303"/>
      <c r="AA58" s="303"/>
      <c r="AB58" s="303"/>
      <c r="AC58" s="303"/>
      <c r="AD58" s="303"/>
      <c r="AF58" s="334"/>
      <c r="AH58" s="334"/>
      <c r="AI58" s="720"/>
      <c r="AJ58" s="720"/>
      <c r="AK58" s="334"/>
      <c r="AL58" s="334"/>
    </row>
    <row r="59" spans="1:38" ht="12.75" customHeight="1" x14ac:dyDescent="0.25">
      <c r="A59" s="288"/>
      <c r="B59" s="290" t="s">
        <v>411</v>
      </c>
      <c r="C59" s="290" t="s">
        <v>22</v>
      </c>
      <c r="D59" s="276"/>
      <c r="E59" s="276"/>
      <c r="F59" s="276"/>
      <c r="G59" s="276"/>
      <c r="H59" s="276"/>
      <c r="I59" s="310"/>
      <c r="K59" s="301"/>
      <c r="L59" s="283">
        <f>ROUND(VLOOKUP(J57,TabelLønninger,+M14,2)*I15/100/12*BeskGradNyLøn,2)+(I15/100*(L22+L27+L32+L33+L34+L35+L44+L45+L53+L54+L55))</f>
        <v>0</v>
      </c>
      <c r="M59" s="284">
        <f>L59*12</f>
        <v>0</v>
      </c>
      <c r="N59" s="293"/>
      <c r="O59" s="293"/>
      <c r="P59" s="293"/>
      <c r="Q59" s="293"/>
      <c r="U59" s="290"/>
      <c r="V59" s="290"/>
      <c r="AF59" s="334"/>
      <c r="AH59" s="334"/>
      <c r="AK59" s="334"/>
      <c r="AL59" s="334"/>
    </row>
    <row r="60" spans="1:38" ht="12.75" customHeight="1" x14ac:dyDescent="0.25">
      <c r="A60" s="288"/>
      <c r="B60" s="285" t="s">
        <v>406</v>
      </c>
      <c r="C60" s="290"/>
      <c r="D60" s="291"/>
      <c r="E60" s="291"/>
      <c r="F60" s="291"/>
      <c r="G60" s="291"/>
      <c r="H60" s="291"/>
      <c r="I60" s="310"/>
      <c r="J60" s="330"/>
      <c r="K60" s="311"/>
      <c r="L60" s="312">
        <f>SUM(L57:L59)</f>
        <v>0</v>
      </c>
      <c r="M60" s="313">
        <f>SUM(M57:M59)</f>
        <v>0</v>
      </c>
      <c r="N60" s="331"/>
      <c r="O60" s="331"/>
      <c r="P60" s="331"/>
      <c r="Q60" s="331"/>
      <c r="U60" s="293"/>
      <c r="V60" s="293"/>
      <c r="AF60" s="334"/>
      <c r="AH60" s="334"/>
      <c r="AI60" s="442"/>
      <c r="AJ60" s="442"/>
      <c r="AK60" s="334"/>
      <c r="AL60" s="334"/>
    </row>
    <row r="61" spans="1:38" ht="8.25" customHeight="1" x14ac:dyDescent="0.25">
      <c r="A61" s="288"/>
      <c r="B61" s="285"/>
      <c r="C61" s="290"/>
      <c r="D61" s="291"/>
      <c r="E61" s="291"/>
      <c r="F61" s="291"/>
      <c r="G61" s="291"/>
      <c r="H61" s="291"/>
      <c r="I61" s="310"/>
      <c r="J61" s="330"/>
      <c r="K61" s="330"/>
      <c r="L61" s="331"/>
      <c r="M61" s="331"/>
      <c r="N61" s="331"/>
      <c r="O61" s="331"/>
      <c r="P61" s="331"/>
      <c r="Q61" s="331"/>
      <c r="U61" s="293"/>
      <c r="V61" s="293"/>
      <c r="AF61" s="334"/>
      <c r="AG61" s="722"/>
      <c r="AH61" s="722"/>
      <c r="AI61" s="722"/>
      <c r="AJ61" s="722"/>
      <c r="AK61" s="334"/>
      <c r="AL61" s="334"/>
    </row>
    <row r="62" spans="1:38" ht="12" customHeight="1" x14ac:dyDescent="0.25">
      <c r="A62" s="288"/>
      <c r="B62" s="724" t="s">
        <v>7</v>
      </c>
      <c r="C62" s="678"/>
      <c r="D62" s="678"/>
      <c r="E62" s="678"/>
      <c r="F62" s="678"/>
      <c r="G62" s="678"/>
      <c r="H62" s="678"/>
      <c r="I62" s="678"/>
      <c r="J62" s="678"/>
      <c r="K62" s="678"/>
      <c r="L62" s="678"/>
      <c r="M62" s="678"/>
      <c r="N62" s="678"/>
      <c r="O62" s="678"/>
      <c r="P62" s="678"/>
      <c r="Q62" s="678"/>
      <c r="R62" s="678"/>
      <c r="S62" s="678"/>
      <c r="T62" s="678"/>
      <c r="U62" s="678"/>
      <c r="V62" s="678"/>
      <c r="W62" s="678"/>
      <c r="X62" s="678"/>
      <c r="Y62" s="678"/>
      <c r="Z62" s="678"/>
      <c r="AA62" s="678"/>
      <c r="AB62" s="678"/>
      <c r="AC62" s="678"/>
      <c r="AD62" s="725"/>
      <c r="AF62" s="334"/>
      <c r="AG62" s="722"/>
      <c r="AH62" s="722"/>
      <c r="AI62" s="722"/>
      <c r="AJ62" s="722"/>
      <c r="AK62" s="334"/>
      <c r="AL62" s="334"/>
    </row>
    <row r="63" spans="1:38" ht="12" customHeight="1" x14ac:dyDescent="0.25">
      <c r="A63" s="288"/>
      <c r="B63" s="680"/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26"/>
      <c r="AB63" s="726"/>
      <c r="AC63" s="726"/>
      <c r="AD63" s="727"/>
      <c r="AF63" s="334"/>
      <c r="AG63" s="342"/>
      <c r="AH63" s="342"/>
      <c r="AI63" s="443"/>
      <c r="AJ63" s="443"/>
      <c r="AK63" s="334"/>
      <c r="AL63" s="334"/>
    </row>
    <row r="64" spans="1:38" ht="12" customHeight="1" x14ac:dyDescent="0.25">
      <c r="A64" s="288"/>
      <c r="B64" s="680"/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26"/>
      <c r="AB64" s="726"/>
      <c r="AC64" s="726"/>
      <c r="AD64" s="727"/>
      <c r="AF64" s="334"/>
      <c r="AG64" s="342"/>
      <c r="AH64" s="342"/>
      <c r="AI64" s="443"/>
      <c r="AJ64" s="443"/>
      <c r="AK64" s="334"/>
      <c r="AL64" s="334"/>
    </row>
    <row r="65" spans="1:41" ht="12" customHeight="1" x14ac:dyDescent="0.25">
      <c r="A65" s="288"/>
      <c r="B65" s="728"/>
      <c r="C65" s="729"/>
      <c r="D65" s="729"/>
      <c r="E65" s="729"/>
      <c r="F65" s="729"/>
      <c r="G65" s="729"/>
      <c r="H65" s="729"/>
      <c r="I65" s="729"/>
      <c r="J65" s="729"/>
      <c r="K65" s="729"/>
      <c r="L65" s="729"/>
      <c r="M65" s="729"/>
      <c r="N65" s="729"/>
      <c r="O65" s="729"/>
      <c r="P65" s="729"/>
      <c r="Q65" s="729"/>
      <c r="R65" s="729"/>
      <c r="S65" s="729"/>
      <c r="T65" s="729"/>
      <c r="U65" s="729"/>
      <c r="V65" s="729"/>
      <c r="W65" s="729"/>
      <c r="X65" s="729"/>
      <c r="Y65" s="729"/>
      <c r="Z65" s="729"/>
      <c r="AA65" s="729"/>
      <c r="AB65" s="729"/>
      <c r="AC65" s="729"/>
      <c r="AD65" s="730"/>
      <c r="AF65" s="334"/>
      <c r="AG65" s="342"/>
      <c r="AH65" s="342"/>
      <c r="AI65" s="443"/>
      <c r="AJ65" s="443"/>
      <c r="AK65" s="334"/>
      <c r="AL65" s="334"/>
    </row>
    <row r="66" spans="1:41" ht="12.75" customHeight="1" x14ac:dyDescent="0.25">
      <c r="C66" s="332" t="s">
        <v>448</v>
      </c>
      <c r="AF66" s="334"/>
      <c r="AG66" s="342"/>
      <c r="AH66" s="342"/>
      <c r="AI66" s="443"/>
      <c r="AJ66" s="443"/>
      <c r="AK66" s="334"/>
      <c r="AL66" s="334"/>
    </row>
    <row r="67" spans="1:41" ht="9.75" customHeight="1" x14ac:dyDescent="0.25">
      <c r="AF67" s="334"/>
      <c r="AG67" s="440"/>
      <c r="AH67" s="440"/>
      <c r="AI67" s="443"/>
      <c r="AJ67" s="443"/>
      <c r="AK67" s="334"/>
      <c r="AL67" s="334"/>
    </row>
    <row r="68" spans="1:41" ht="9.75" customHeight="1" x14ac:dyDescent="0.25">
      <c r="C68" s="570"/>
      <c r="D68" s="625" t="s">
        <v>784</v>
      </c>
      <c r="E68" s="625"/>
      <c r="F68" s="625"/>
      <c r="G68" s="625"/>
      <c r="H68" s="625"/>
      <c r="I68" s="625"/>
      <c r="J68" s="625"/>
      <c r="K68" s="626"/>
      <c r="L68" s="626"/>
      <c r="M68" s="625" t="s">
        <v>785</v>
      </c>
      <c r="N68" s="625"/>
      <c r="O68" s="625"/>
      <c r="P68" s="625"/>
      <c r="Q68" s="625"/>
      <c r="R68" s="625"/>
      <c r="S68" s="625"/>
      <c r="T68" s="625"/>
      <c r="U68" s="625"/>
      <c r="V68" s="625"/>
      <c r="W68" s="625"/>
      <c r="X68" s="625"/>
      <c r="Y68" s="626"/>
      <c r="Z68" s="626"/>
      <c r="AA68" s="626"/>
      <c r="AB68" s="626"/>
      <c r="AC68" s="626"/>
      <c r="AD68" s="626"/>
      <c r="AE68" s="626"/>
      <c r="AF68" s="334"/>
      <c r="AG68" s="440"/>
      <c r="AH68" s="440"/>
      <c r="AI68" s="443"/>
      <c r="AJ68" s="443"/>
      <c r="AK68" s="334"/>
      <c r="AL68" s="334"/>
    </row>
    <row r="69" spans="1:41" ht="17.25" customHeight="1" x14ac:dyDescent="0.25">
      <c r="C69" s="570"/>
      <c r="D69" s="627"/>
      <c r="E69" s="627"/>
      <c r="F69" s="627"/>
      <c r="G69" s="627"/>
      <c r="H69" s="627"/>
      <c r="I69" s="627"/>
      <c r="J69" s="627"/>
      <c r="K69" s="628"/>
      <c r="L69" s="628"/>
      <c r="M69" s="628"/>
      <c r="N69" s="628"/>
      <c r="O69" s="628"/>
      <c r="P69" s="628"/>
      <c r="Q69" s="628"/>
      <c r="R69" s="628"/>
      <c r="S69" s="628"/>
      <c r="T69" s="628"/>
      <c r="U69" s="628"/>
      <c r="V69" s="628"/>
      <c r="W69" s="628"/>
      <c r="X69" s="628"/>
      <c r="Y69" s="628"/>
      <c r="Z69" s="628"/>
      <c r="AA69" s="628"/>
      <c r="AB69" s="628"/>
      <c r="AC69" s="628"/>
      <c r="AD69" s="628"/>
      <c r="AE69" s="628"/>
      <c r="AF69" s="334"/>
      <c r="AG69" s="440"/>
      <c r="AH69" s="440"/>
      <c r="AI69" s="443"/>
      <c r="AJ69" s="443"/>
      <c r="AK69" s="334"/>
      <c r="AL69" s="334"/>
    </row>
    <row r="70" spans="1:41" ht="17.25" customHeight="1" x14ac:dyDescent="0.25">
      <c r="C70" s="506" t="s">
        <v>760</v>
      </c>
      <c r="D70" s="357"/>
      <c r="E70" s="643"/>
      <c r="F70" s="644"/>
      <c r="G70" s="644"/>
      <c r="H70" s="644"/>
      <c r="I70" s="644"/>
      <c r="J70" s="644"/>
      <c r="K70" s="644"/>
      <c r="L70" s="696"/>
      <c r="M70" s="506" t="s">
        <v>760</v>
      </c>
      <c r="N70" s="689"/>
      <c r="O70" s="689"/>
      <c r="P70" s="689"/>
      <c r="Q70" s="689"/>
      <c r="R70" s="689"/>
      <c r="S70" s="689"/>
      <c r="T70" s="689"/>
      <c r="U70" s="689"/>
      <c r="V70" s="689"/>
      <c r="W70" s="689"/>
      <c r="X70" s="689"/>
      <c r="Y70" s="689"/>
      <c r="Z70" s="689"/>
      <c r="AA70" s="689"/>
      <c r="AB70" s="689"/>
      <c r="AC70" s="689"/>
      <c r="AD70" s="689"/>
      <c r="AE70" s="690"/>
      <c r="AF70" s="334"/>
      <c r="AG70" s="440"/>
      <c r="AH70" s="440"/>
      <c r="AI70" s="443"/>
      <c r="AJ70" s="443"/>
      <c r="AK70" s="334"/>
      <c r="AL70" s="334"/>
    </row>
    <row r="71" spans="1:41" ht="16.5" customHeight="1" x14ac:dyDescent="0.25">
      <c r="C71" s="506"/>
      <c r="D71" s="643"/>
      <c r="E71" s="644"/>
      <c r="F71" s="644"/>
      <c r="G71" s="644"/>
      <c r="H71" s="644"/>
      <c r="I71" s="644"/>
      <c r="J71" s="644"/>
      <c r="K71" s="644"/>
      <c r="L71" s="696"/>
      <c r="M71" s="697"/>
      <c r="N71" s="644"/>
      <c r="O71" s="644"/>
      <c r="P71" s="644"/>
      <c r="Q71" s="644"/>
      <c r="R71" s="644"/>
      <c r="S71" s="644"/>
      <c r="T71" s="644"/>
      <c r="U71" s="644"/>
      <c r="V71" s="644"/>
      <c r="W71" s="644"/>
      <c r="X71" s="644"/>
      <c r="Y71" s="644"/>
      <c r="Z71" s="644"/>
      <c r="AA71" s="644"/>
      <c r="AB71" s="644"/>
      <c r="AC71" s="644"/>
      <c r="AD71" s="644"/>
      <c r="AE71" s="696"/>
      <c r="AF71" s="334"/>
      <c r="AG71" s="440"/>
      <c r="AH71" s="440"/>
      <c r="AI71" s="443"/>
      <c r="AJ71" s="443"/>
      <c r="AK71" s="334"/>
      <c r="AL71" s="334"/>
    </row>
    <row r="72" spans="1:41" ht="17.25" customHeight="1" x14ac:dyDescent="0.25">
      <c r="C72" s="691" t="s">
        <v>65</v>
      </c>
      <c r="D72" s="691"/>
      <c r="E72" s="691"/>
      <c r="F72" s="691"/>
      <c r="G72" s="691"/>
      <c r="H72" s="691"/>
      <c r="I72" s="691"/>
      <c r="J72" s="691"/>
      <c r="K72" s="322"/>
      <c r="L72" s="322"/>
      <c r="M72" s="691" t="s">
        <v>65</v>
      </c>
      <c r="N72" s="691"/>
      <c r="O72" s="691"/>
      <c r="P72" s="691"/>
      <c r="Q72" s="691"/>
      <c r="R72" s="691"/>
      <c r="S72" s="691"/>
      <c r="T72" s="691"/>
      <c r="U72" s="691"/>
      <c r="V72" s="691"/>
      <c r="W72" s="691"/>
      <c r="X72" s="691"/>
      <c r="Y72" s="321"/>
      <c r="Z72" s="321"/>
      <c r="AA72" s="321"/>
      <c r="AB72" s="321"/>
      <c r="AC72" s="321"/>
      <c r="AD72" s="321"/>
      <c r="AE72" s="321"/>
      <c r="AF72" s="334"/>
      <c r="AG72" s="440"/>
      <c r="AH72" s="440"/>
      <c r="AI72" s="443"/>
      <c r="AJ72" s="443"/>
      <c r="AK72" s="334"/>
      <c r="AL72" s="334"/>
    </row>
    <row r="73" spans="1:41" ht="21" customHeight="1" x14ac:dyDescent="0.25">
      <c r="C73" s="615"/>
      <c r="D73" s="674"/>
      <c r="E73" s="674"/>
      <c r="F73" s="674"/>
      <c r="G73" s="674"/>
      <c r="H73" s="674"/>
      <c r="I73" s="674"/>
      <c r="J73" s="674"/>
      <c r="K73" s="674"/>
      <c r="L73" s="675"/>
      <c r="M73" s="615"/>
      <c r="N73" s="616"/>
      <c r="O73" s="616"/>
      <c r="P73" s="616"/>
      <c r="Q73" s="616"/>
      <c r="R73" s="616"/>
      <c r="S73" s="616"/>
      <c r="T73" s="616"/>
      <c r="U73" s="616"/>
      <c r="V73" s="616"/>
      <c r="W73" s="616"/>
      <c r="X73" s="616"/>
      <c r="Y73" s="616"/>
      <c r="Z73" s="616"/>
      <c r="AA73" s="616"/>
      <c r="AB73" s="616"/>
      <c r="AC73" s="616"/>
      <c r="AD73" s="616"/>
      <c r="AE73" s="589"/>
      <c r="AF73" s="334"/>
      <c r="AG73" s="440"/>
      <c r="AH73" s="440"/>
      <c r="AI73" s="443"/>
      <c r="AJ73" s="443"/>
      <c r="AK73" s="334"/>
      <c r="AL73" s="334"/>
    </row>
    <row r="74" spans="1:41" ht="17.25" customHeight="1" x14ac:dyDescent="0.25">
      <c r="C74" s="691" t="s">
        <v>786</v>
      </c>
      <c r="D74" s="691"/>
      <c r="E74" s="691"/>
      <c r="F74" s="691"/>
      <c r="G74" s="691"/>
      <c r="H74" s="691"/>
      <c r="I74" s="691"/>
      <c r="J74" s="691"/>
      <c r="K74" s="322"/>
      <c r="L74" s="322"/>
      <c r="M74" s="691" t="s">
        <v>786</v>
      </c>
      <c r="N74" s="691"/>
      <c r="O74" s="691"/>
      <c r="P74" s="691"/>
      <c r="Q74" s="691"/>
      <c r="R74" s="691"/>
      <c r="S74" s="691"/>
      <c r="T74" s="691"/>
      <c r="U74" s="691"/>
      <c r="V74" s="691"/>
      <c r="W74" s="691"/>
      <c r="X74" s="691"/>
      <c r="Y74" s="321"/>
      <c r="Z74" s="321"/>
      <c r="AA74" s="321"/>
      <c r="AB74" s="321"/>
      <c r="AC74" s="321"/>
      <c r="AD74" s="321"/>
      <c r="AE74" s="321"/>
      <c r="AF74" s="334"/>
      <c r="AG74" s="440"/>
      <c r="AH74" s="440"/>
      <c r="AI74" s="443"/>
      <c r="AJ74" s="443"/>
      <c r="AK74" s="334"/>
      <c r="AL74" s="334"/>
    </row>
    <row r="75" spans="1:41" ht="9.75" customHeight="1" x14ac:dyDescent="0.25">
      <c r="AF75" s="334"/>
      <c r="AG75" s="440"/>
      <c r="AH75" s="440"/>
      <c r="AI75" s="443"/>
      <c r="AJ75" s="443"/>
      <c r="AK75" s="334"/>
      <c r="AL75" s="334"/>
    </row>
    <row r="76" spans="1:41" ht="9.75" customHeight="1" x14ac:dyDescent="0.25">
      <c r="AF76" s="334"/>
      <c r="AG76" s="440"/>
      <c r="AH76" s="440"/>
      <c r="AI76" s="443"/>
      <c r="AJ76" s="443"/>
      <c r="AK76" s="334"/>
      <c r="AL76" s="334"/>
    </row>
    <row r="77" spans="1:41" ht="6" customHeight="1" x14ac:dyDescent="0.25">
      <c r="AF77" s="334"/>
      <c r="AG77" s="440"/>
      <c r="AH77" s="440"/>
      <c r="AI77" s="443"/>
      <c r="AJ77" s="443"/>
      <c r="AK77" s="334"/>
      <c r="AL77" s="334"/>
    </row>
    <row r="78" spans="1:41" ht="9.75" customHeight="1" x14ac:dyDescent="0.25">
      <c r="AF78" s="334"/>
      <c r="AG78" s="440"/>
      <c r="AH78" s="440"/>
      <c r="AI78" s="443"/>
      <c r="AJ78" s="443"/>
      <c r="AK78" s="334"/>
      <c r="AL78" s="334"/>
    </row>
    <row r="80" spans="1:41" ht="12.75" customHeight="1" x14ac:dyDescent="0.25">
      <c r="A80" s="276"/>
      <c r="B80" s="276"/>
      <c r="L80" s="278"/>
      <c r="M80" s="278"/>
      <c r="N80" s="278"/>
      <c r="O80" s="278"/>
      <c r="P80" s="278"/>
      <c r="Q80" s="278"/>
      <c r="S80" s="702" t="s">
        <v>728</v>
      </c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338"/>
      <c r="AF80" s="338"/>
      <c r="AG80" s="288"/>
      <c r="AH80" s="338"/>
      <c r="AI80" s="441"/>
      <c r="AJ80" s="441"/>
      <c r="AK80" s="338"/>
      <c r="AL80" s="338"/>
      <c r="AM80" s="338"/>
      <c r="AN80" s="338"/>
      <c r="AO80" s="338"/>
    </row>
    <row r="81" spans="1:38" ht="19.5" customHeight="1" x14ac:dyDescent="0.35">
      <c r="A81" s="308"/>
      <c r="B81" s="341" t="s">
        <v>444</v>
      </c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F81" s="334"/>
      <c r="AH81" s="334"/>
      <c r="AI81" s="442"/>
      <c r="AJ81" s="442"/>
      <c r="AK81" s="334"/>
      <c r="AL81" s="334"/>
    </row>
    <row r="82" spans="1:38" ht="13.5" customHeight="1" x14ac:dyDescent="0.25">
      <c r="A82" s="704"/>
      <c r="B82" s="704"/>
      <c r="C82" s="704"/>
      <c r="D82" s="704"/>
      <c r="E82" s="704"/>
      <c r="F82" s="704"/>
      <c r="G82" s="704"/>
      <c r="H82" s="704"/>
      <c r="I82" s="704"/>
      <c r="J82" s="704"/>
      <c r="K82" s="704"/>
      <c r="L82" s="704"/>
      <c r="M82" s="704"/>
      <c r="N82" s="524"/>
      <c r="O82" s="524"/>
      <c r="P82" s="524"/>
      <c r="Q82" s="524"/>
      <c r="AF82" s="334"/>
      <c r="AH82" s="334"/>
      <c r="AI82" s="442"/>
      <c r="AJ82" s="442"/>
      <c r="AK82" s="334"/>
      <c r="AL82" s="334"/>
    </row>
    <row r="83" spans="1:38" ht="12.75" customHeight="1" x14ac:dyDescent="0.25">
      <c r="A83" s="288"/>
      <c r="B83" s="326" t="s">
        <v>65</v>
      </c>
      <c r="C83" s="276" t="s">
        <v>445</v>
      </c>
      <c r="D83" s="276"/>
      <c r="E83" s="276"/>
      <c r="F83" s="276"/>
      <c r="G83" s="276"/>
      <c r="H83" s="289"/>
      <c r="I83" s="632"/>
      <c r="J83" s="633"/>
      <c r="K83" s="633"/>
      <c r="L83" s="633"/>
      <c r="M83" s="634"/>
      <c r="N83" s="526"/>
      <c r="O83" s="526"/>
      <c r="P83" s="526"/>
      <c r="Q83" s="526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300"/>
      <c r="AF83" s="334"/>
      <c r="AH83" s="334"/>
      <c r="AI83" s="442"/>
      <c r="AJ83" s="442"/>
      <c r="AK83" s="334"/>
      <c r="AL83" s="334"/>
    </row>
    <row r="84" spans="1:38" ht="12.75" customHeight="1" x14ac:dyDescent="0.25">
      <c r="A84" s="288"/>
      <c r="B84" s="326" t="s">
        <v>89</v>
      </c>
      <c r="C84" s="276"/>
      <c r="D84" s="276"/>
      <c r="E84" s="276"/>
      <c r="F84" s="276"/>
      <c r="G84" s="276"/>
      <c r="H84" s="289"/>
      <c r="I84" s="295">
        <v>37</v>
      </c>
      <c r="J84" s="323"/>
      <c r="K84" s="388"/>
      <c r="L84" s="378" t="s">
        <v>409</v>
      </c>
      <c r="M84" s="512">
        <v>37</v>
      </c>
      <c r="N84" s="527"/>
      <c r="O84" s="527"/>
      <c r="P84" s="527"/>
      <c r="Q84" s="527"/>
      <c r="R84" s="324">
        <f>I84/MAX(M84,1)</f>
        <v>1</v>
      </c>
      <c r="T84" s="342"/>
      <c r="U84" s="359"/>
      <c r="V84" s="359"/>
      <c r="W84" s="360"/>
      <c r="X84" s="360"/>
      <c r="Y84" s="360"/>
      <c r="Z84" s="360"/>
      <c r="AA84" s="360"/>
      <c r="AB84" s="360"/>
      <c r="AC84" s="360"/>
      <c r="AD84" s="360"/>
      <c r="AF84" s="334"/>
      <c r="AH84" s="334"/>
      <c r="AI84" s="442"/>
      <c r="AJ84" s="442"/>
      <c r="AK84" s="334"/>
      <c r="AL84" s="334"/>
    </row>
    <row r="85" spans="1:38" ht="12.75" customHeight="1" x14ac:dyDescent="0.25">
      <c r="A85" s="288"/>
      <c r="B85" s="327"/>
      <c r="C85" s="285"/>
      <c r="D85" s="285"/>
      <c r="E85" s="285"/>
      <c r="F85" s="285"/>
      <c r="G85" s="285"/>
      <c r="H85" s="285"/>
      <c r="I85" s="381">
        <f>+IF(+Y88=7101,4,+IF(+Y88=7001,3,+IF(+Y88=7021,3,+IF(+Y88=3101,1,0))))</f>
        <v>0</v>
      </c>
      <c r="J85" s="315"/>
      <c r="K85" s="315"/>
      <c r="L85" s="521">
        <f>+IF(+I85=0,4,+(IF(+I85=1,7,+IF(+I85=3,14,+IF(+I85=4,18,4)))))</f>
        <v>4</v>
      </c>
      <c r="M85" s="522">
        <f>+IF(+I85=0,2,+(IF(+I85=1,6,+IF(+I85=3,12,+IF(+I85=4,16,2)))))</f>
        <v>2</v>
      </c>
      <c r="N85" s="522"/>
      <c r="O85" s="522"/>
      <c r="P85" s="522"/>
      <c r="Q85" s="522"/>
      <c r="R85" s="451"/>
      <c r="T85" s="342"/>
      <c r="V85" s="359"/>
      <c r="W85" s="317"/>
      <c r="X85" s="317"/>
      <c r="Y85" s="317"/>
      <c r="Z85" s="317"/>
      <c r="AA85" s="317"/>
      <c r="AB85" s="317"/>
      <c r="AC85" s="317"/>
      <c r="AD85" s="317"/>
      <c r="AF85" s="337"/>
      <c r="AG85" s="409"/>
      <c r="AH85" s="337"/>
      <c r="AI85" s="335"/>
      <c r="AJ85" s="335"/>
      <c r="AK85" s="337"/>
      <c r="AL85" s="337"/>
    </row>
    <row r="86" spans="1:38" ht="12.75" customHeight="1" x14ac:dyDescent="0.25">
      <c r="A86" s="288"/>
      <c r="B86" s="327" t="s">
        <v>269</v>
      </c>
      <c r="C86" s="285"/>
      <c r="D86" s="285"/>
      <c r="E86" s="285"/>
      <c r="F86" s="285"/>
      <c r="G86" s="285"/>
      <c r="H86" s="286"/>
      <c r="I86" s="295"/>
      <c r="J86" s="307" t="s">
        <v>388</v>
      </c>
      <c r="K86" s="715" t="s">
        <v>399</v>
      </c>
      <c r="L86" s="715"/>
      <c r="M86" s="315">
        <f>VLOOKUP(+I85,TabelPctReg,2)</f>
        <v>65.337800000000001</v>
      </c>
      <c r="N86" s="315"/>
      <c r="O86" s="315"/>
      <c r="P86" s="315"/>
      <c r="Q86" s="315"/>
      <c r="U86" s="325"/>
      <c r="V86" s="325"/>
      <c r="W86" s="667"/>
      <c r="X86" s="667"/>
      <c r="Y86" s="667"/>
      <c r="Z86" s="667"/>
      <c r="AA86" s="667"/>
      <c r="AB86" s="667"/>
      <c r="AC86" s="667"/>
      <c r="AD86" s="667"/>
      <c r="AF86" s="334"/>
      <c r="AH86" s="334"/>
      <c r="AI86" s="442"/>
      <c r="AJ86" s="442"/>
      <c r="AK86" s="334"/>
      <c r="AL86" s="334"/>
    </row>
    <row r="87" spans="1:38" ht="12.75" customHeight="1" x14ac:dyDescent="0.25">
      <c r="S87" s="333"/>
      <c r="T87" s="333"/>
      <c r="U87" s="333"/>
      <c r="V87" s="325"/>
      <c r="W87" s="325"/>
      <c r="X87" s="325"/>
      <c r="Y87" s="325"/>
      <c r="Z87" s="325"/>
      <c r="AA87" s="325"/>
      <c r="AB87" s="325"/>
      <c r="AC87" s="325"/>
      <c r="AD87" s="325"/>
      <c r="AF87" s="334"/>
      <c r="AH87" s="334"/>
      <c r="AI87" s="442"/>
      <c r="AJ87" s="442"/>
      <c r="AK87" s="334"/>
      <c r="AL87" s="334"/>
    </row>
    <row r="88" spans="1:38" ht="11.25" customHeight="1" x14ac:dyDescent="0.25">
      <c r="A88" s="279"/>
      <c r="B88" s="279"/>
      <c r="C88" s="279"/>
      <c r="D88" s="279"/>
      <c r="E88" s="279"/>
      <c r="F88" s="279"/>
      <c r="G88" s="279"/>
      <c r="H88" s="279"/>
      <c r="I88" s="305" t="s">
        <v>161</v>
      </c>
      <c r="J88" s="305" t="s">
        <v>21</v>
      </c>
      <c r="K88" s="305"/>
      <c r="L88" s="305" t="s">
        <v>233</v>
      </c>
      <c r="M88" s="318" t="s">
        <v>234</v>
      </c>
      <c r="N88" s="318"/>
      <c r="O88" s="318"/>
      <c r="P88" s="318"/>
      <c r="Q88" s="318"/>
      <c r="R88" s="280"/>
      <c r="S88" s="333"/>
      <c r="T88" s="317" t="s">
        <v>407</v>
      </c>
      <c r="U88" s="317"/>
      <c r="V88" s="316"/>
      <c r="W88" s="316"/>
      <c r="X88" s="316"/>
      <c r="Y88" s="699"/>
      <c r="Z88" s="700"/>
      <c r="AA88" s="700"/>
      <c r="AB88" s="700"/>
      <c r="AC88" s="701"/>
      <c r="AD88" s="325"/>
      <c r="AF88" s="335"/>
      <c r="AG88" s="409"/>
      <c r="AH88" s="335"/>
      <c r="AI88" s="335"/>
      <c r="AJ88" s="335"/>
      <c r="AK88" s="335"/>
      <c r="AL88" s="335"/>
    </row>
    <row r="89" spans="1:38" ht="11.25" customHeight="1" x14ac:dyDescent="0.2">
      <c r="A89" s="281"/>
      <c r="B89" s="281"/>
      <c r="C89" s="281"/>
      <c r="D89" s="281"/>
      <c r="E89" s="281"/>
      <c r="F89" s="281"/>
      <c r="G89" s="281"/>
      <c r="H89" s="281"/>
      <c r="I89" s="305" t="s">
        <v>162</v>
      </c>
      <c r="J89" s="305" t="s">
        <v>122</v>
      </c>
      <c r="K89" s="305"/>
      <c r="L89" s="306">
        <f>Dato1-0</f>
        <v>46113</v>
      </c>
      <c r="M89" s="319">
        <f>Dato1-0</f>
        <v>46113</v>
      </c>
      <c r="N89" s="319"/>
      <c r="O89" s="319"/>
      <c r="P89" s="319"/>
      <c r="Q89" s="319"/>
      <c r="R89" s="280"/>
      <c r="T89" s="718" t="e">
        <f>+VLOOKUP(Y88,Vejledning!1:1048576,3,1)</f>
        <v>#N/A</v>
      </c>
      <c r="U89" s="718"/>
      <c r="V89" s="718"/>
      <c r="W89" s="718"/>
      <c r="X89" s="718"/>
      <c r="Y89" s="718"/>
      <c r="Z89" s="718"/>
      <c r="AA89" s="718"/>
      <c r="AB89" s="718"/>
      <c r="AC89" s="718"/>
      <c r="AF89" s="335"/>
      <c r="AG89" s="409"/>
      <c r="AH89" s="335"/>
      <c r="AI89" s="335"/>
      <c r="AJ89" s="335"/>
      <c r="AK89" s="335"/>
      <c r="AL89" s="335"/>
    </row>
    <row r="90" spans="1:38" ht="11.25" customHeight="1" x14ac:dyDescent="0.2">
      <c r="A90" s="276"/>
      <c r="I90" s="306">
        <f>VLOOKUP(I85,TabelPctReg,3)</f>
        <v>36616</v>
      </c>
      <c r="J90" s="305"/>
      <c r="K90" s="305"/>
      <c r="L90" s="306" t="s">
        <v>398</v>
      </c>
      <c r="M90" s="319" t="s">
        <v>398</v>
      </c>
      <c r="N90" s="319"/>
      <c r="O90" s="319"/>
      <c r="P90" s="319"/>
      <c r="Q90" s="319"/>
      <c r="R90" s="282"/>
      <c r="S90" s="309"/>
      <c r="T90" s="718"/>
      <c r="U90" s="718"/>
      <c r="V90" s="718"/>
      <c r="W90" s="718"/>
      <c r="X90" s="718"/>
      <c r="Y90" s="718"/>
      <c r="Z90" s="718"/>
      <c r="AA90" s="718"/>
      <c r="AB90" s="718"/>
      <c r="AC90" s="718"/>
      <c r="AD90" s="355"/>
      <c r="AF90" s="335"/>
      <c r="AG90" s="409"/>
      <c r="AH90" s="335"/>
      <c r="AI90" s="335"/>
      <c r="AJ90" s="335"/>
      <c r="AK90" s="335"/>
      <c r="AL90" s="335"/>
    </row>
    <row r="91" spans="1:38" ht="6.75" customHeight="1" x14ac:dyDescent="0.25">
      <c r="A91" s="276"/>
      <c r="I91" s="282"/>
      <c r="J91" s="302"/>
      <c r="K91" s="305"/>
      <c r="L91" s="304"/>
      <c r="M91" s="304"/>
      <c r="N91" s="282"/>
      <c r="O91" s="282"/>
      <c r="P91" s="282"/>
      <c r="Q91" s="282"/>
      <c r="R91" s="282"/>
      <c r="S91" s="341"/>
      <c r="T91" s="718"/>
      <c r="U91" s="718"/>
      <c r="V91" s="718"/>
      <c r="W91" s="718"/>
      <c r="X91" s="718"/>
      <c r="Y91" s="718"/>
      <c r="Z91" s="718"/>
      <c r="AA91" s="718"/>
      <c r="AB91" s="718"/>
      <c r="AC91" s="718"/>
      <c r="AD91" s="355"/>
      <c r="AF91" s="335"/>
      <c r="AG91" s="409"/>
      <c r="AH91" s="335"/>
      <c r="AI91" s="335"/>
      <c r="AJ91" s="335"/>
      <c r="AK91" s="335"/>
      <c r="AL91" s="335"/>
    </row>
    <row r="92" spans="1:38" ht="12.75" customHeight="1" x14ac:dyDescent="0.25">
      <c r="A92" s="288"/>
      <c r="B92" s="285" t="s">
        <v>390</v>
      </c>
      <c r="C92" s="285"/>
      <c r="D92" s="285"/>
      <c r="E92" s="285"/>
      <c r="F92" s="285"/>
      <c r="G92" s="285"/>
      <c r="H92" s="285"/>
      <c r="I92" s="382"/>
      <c r="J92" s="294"/>
      <c r="K92" s="305"/>
      <c r="L92" s="283">
        <f>ROUND(VLOOKUP(J92,TabelLøn,+L85,1)*(I84/M84),2)</f>
        <v>0</v>
      </c>
      <c r="M92" s="284">
        <f>L92*12</f>
        <v>0</v>
      </c>
      <c r="N92" s="293"/>
      <c r="O92" s="293"/>
      <c r="P92" s="293"/>
      <c r="Q92" s="293"/>
      <c r="S92" s="341"/>
      <c r="T92" s="718"/>
      <c r="U92" s="718"/>
      <c r="V92" s="718"/>
      <c r="W92" s="718"/>
      <c r="X92" s="718"/>
      <c r="Y92" s="718"/>
      <c r="Z92" s="718"/>
      <c r="AA92" s="718"/>
      <c r="AB92" s="718"/>
      <c r="AC92" s="718"/>
      <c r="AD92" s="355"/>
      <c r="AF92" s="335"/>
      <c r="AG92" s="409"/>
      <c r="AH92" s="335"/>
      <c r="AI92" s="335"/>
      <c r="AJ92" s="335"/>
      <c r="AK92" s="335"/>
      <c r="AL92" s="335"/>
    </row>
    <row r="93" spans="1:38" ht="12.75" customHeight="1" x14ac:dyDescent="0.25">
      <c r="A93" s="288"/>
      <c r="B93" s="285"/>
      <c r="C93" s="290" t="s">
        <v>389</v>
      </c>
      <c r="D93" s="285"/>
      <c r="E93" s="285"/>
      <c r="F93" s="285"/>
      <c r="G93" s="285"/>
      <c r="H93" s="286"/>
      <c r="I93" s="287"/>
      <c r="J93" s="391"/>
      <c r="K93" s="305"/>
      <c r="L93" s="283">
        <f>ROUND(I93/12*(I84/M84)*(1+PctRegNyLøn%),2)</f>
        <v>0</v>
      </c>
      <c r="M93" s="284">
        <f>L93*12</f>
        <v>0</v>
      </c>
      <c r="N93" s="293"/>
      <c r="O93" s="293"/>
      <c r="P93" s="293"/>
      <c r="Q93" s="293"/>
      <c r="S93" s="342"/>
      <c r="T93" s="718"/>
      <c r="U93" s="718"/>
      <c r="V93" s="718"/>
      <c r="W93" s="718"/>
      <c r="X93" s="718"/>
      <c r="Y93" s="718"/>
      <c r="Z93" s="718"/>
      <c r="AA93" s="718"/>
      <c r="AB93" s="718"/>
      <c r="AC93" s="718"/>
      <c r="AD93" s="342"/>
      <c r="AF93" s="334"/>
      <c r="AH93" s="334"/>
      <c r="AI93" s="442"/>
      <c r="AJ93" s="442"/>
      <c r="AK93" s="334"/>
      <c r="AL93" s="334"/>
    </row>
    <row r="94" spans="1:38" ht="6" customHeight="1" x14ac:dyDescent="0.25">
      <c r="A94" s="288"/>
      <c r="B94" s="288"/>
      <c r="C94" s="288"/>
      <c r="D94" s="288"/>
      <c r="E94" s="288"/>
      <c r="F94" s="288"/>
      <c r="G94" s="288"/>
      <c r="H94" s="288"/>
      <c r="I94" s="298"/>
      <c r="J94" s="280"/>
      <c r="K94" s="305"/>
      <c r="L94" s="298"/>
      <c r="M94" s="298"/>
      <c r="N94" s="288"/>
      <c r="O94" s="288"/>
      <c r="P94" s="288"/>
      <c r="Q94" s="288"/>
      <c r="R94" s="645" t="s">
        <v>424</v>
      </c>
      <c r="S94" s="645"/>
      <c r="T94" s="645"/>
      <c r="U94" s="645"/>
      <c r="V94" s="645"/>
      <c r="W94" s="645"/>
      <c r="X94" s="645"/>
      <c r="Y94" s="645"/>
      <c r="Z94" s="645"/>
      <c r="AA94" s="645"/>
      <c r="AB94" s="645"/>
      <c r="AC94" s="645"/>
      <c r="AD94" s="645"/>
      <c r="AE94" s="645"/>
      <c r="AF94" s="334"/>
      <c r="AH94" s="334"/>
      <c r="AI94" s="442"/>
      <c r="AJ94" s="442"/>
      <c r="AK94" s="334"/>
      <c r="AL94" s="334"/>
    </row>
    <row r="95" spans="1:38" ht="12.75" customHeight="1" x14ac:dyDescent="0.25">
      <c r="A95" s="288"/>
      <c r="B95" s="297" t="s">
        <v>790</v>
      </c>
      <c r="C95" s="297"/>
      <c r="D95" s="297"/>
      <c r="E95" s="276"/>
      <c r="F95" s="276"/>
      <c r="G95" s="276"/>
      <c r="H95" s="276"/>
      <c r="I95" s="276"/>
      <c r="J95" s="280"/>
      <c r="K95" s="305"/>
      <c r="L95" s="276"/>
      <c r="M95" s="276"/>
      <c r="N95" s="276"/>
      <c r="O95" s="276"/>
      <c r="P95" s="276"/>
      <c r="Q95" s="276"/>
      <c r="R95" s="645"/>
      <c r="S95" s="645"/>
      <c r="T95" s="645"/>
      <c r="U95" s="645"/>
      <c r="V95" s="645"/>
      <c r="W95" s="645"/>
      <c r="X95" s="645"/>
      <c r="Y95" s="645"/>
      <c r="Z95" s="645"/>
      <c r="AA95" s="645"/>
      <c r="AB95" s="645"/>
      <c r="AC95" s="645"/>
      <c r="AD95" s="645"/>
      <c r="AE95" s="645"/>
      <c r="AF95" s="334"/>
      <c r="AH95" s="334"/>
      <c r="AI95" s="442"/>
      <c r="AJ95" s="442"/>
      <c r="AK95" s="334"/>
      <c r="AL95" s="334"/>
    </row>
    <row r="96" spans="1:38" ht="6" customHeight="1" x14ac:dyDescent="0.25">
      <c r="A96" s="288"/>
      <c r="B96" s="276"/>
      <c r="C96" s="299" t="s">
        <v>387</v>
      </c>
      <c r="K96" s="305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F96" s="334"/>
      <c r="AH96" s="334"/>
      <c r="AI96" s="442"/>
      <c r="AJ96" s="442"/>
      <c r="AK96" s="334"/>
      <c r="AL96" s="334"/>
    </row>
    <row r="97" spans="1:38" ht="12.75" customHeight="1" x14ac:dyDescent="0.25">
      <c r="A97" s="288"/>
      <c r="B97" s="276"/>
      <c r="C97" s="277" t="s">
        <v>394</v>
      </c>
      <c r="D97" s="276"/>
      <c r="E97" s="276"/>
      <c r="F97" s="276"/>
      <c r="G97" s="276"/>
      <c r="H97" s="276"/>
      <c r="I97" s="382"/>
      <c r="J97" s="294"/>
      <c r="K97" s="305"/>
      <c r="L97" s="283">
        <f>ROUND((VLOOKUP($J$92+J97,TabelLøn,+L85,1)-VLOOKUP($J$92,TabelLøn,+L85,1))*($I$84/$M$84),2)</f>
        <v>0</v>
      </c>
      <c r="M97" s="284">
        <f>L97*12</f>
        <v>0</v>
      </c>
      <c r="N97" s="293"/>
      <c r="O97" s="293"/>
      <c r="P97" s="293"/>
      <c r="Q97" s="293"/>
      <c r="S97" s="632"/>
      <c r="T97" s="633"/>
      <c r="U97" s="633"/>
      <c r="V97" s="633"/>
      <c r="W97" s="633"/>
      <c r="X97" s="633"/>
      <c r="Y97" s="633"/>
      <c r="Z97" s="633"/>
      <c r="AA97" s="633"/>
      <c r="AB97" s="633"/>
      <c r="AC97" s="633"/>
      <c r="AD97" s="634"/>
      <c r="AF97" s="334"/>
      <c r="AH97" s="334"/>
      <c r="AI97" s="442"/>
      <c r="AJ97" s="442"/>
      <c r="AK97" s="334"/>
      <c r="AL97" s="334"/>
    </row>
    <row r="98" spans="1:38" ht="12.75" customHeight="1" x14ac:dyDescent="0.25">
      <c r="A98" s="288"/>
      <c r="B98" s="276"/>
      <c r="C98" s="277" t="s">
        <v>395</v>
      </c>
      <c r="D98" s="276"/>
      <c r="E98" s="276"/>
      <c r="F98" s="276"/>
      <c r="G98" s="276"/>
      <c r="H98" s="289"/>
      <c r="I98" s="287"/>
      <c r="J98" s="386"/>
      <c r="K98" s="305"/>
      <c r="L98" s="283">
        <f>ROUND(I98/12*($I$84/$M$84)*(1+PctRegNyLøn%),2)</f>
        <v>0</v>
      </c>
      <c r="M98" s="284">
        <f>L98*12</f>
        <v>0</v>
      </c>
      <c r="N98" s="293"/>
      <c r="O98" s="293"/>
      <c r="P98" s="293"/>
      <c r="Q98" s="293"/>
      <c r="S98" s="632"/>
      <c r="T98" s="633"/>
      <c r="U98" s="633"/>
      <c r="V98" s="633"/>
      <c r="W98" s="633"/>
      <c r="X98" s="633"/>
      <c r="Y98" s="633"/>
      <c r="Z98" s="633"/>
      <c r="AA98" s="633"/>
      <c r="AB98" s="633"/>
      <c r="AC98" s="633"/>
      <c r="AD98" s="634"/>
      <c r="AF98" s="334"/>
      <c r="AH98" s="334"/>
      <c r="AI98" s="442"/>
      <c r="AJ98" s="442"/>
      <c r="AK98" s="334"/>
      <c r="AL98" s="334"/>
    </row>
    <row r="99" spans="1:38" ht="6" customHeight="1" x14ac:dyDescent="0.25">
      <c r="A99" s="288"/>
      <c r="B99" s="276"/>
      <c r="C99" s="299" t="s">
        <v>387</v>
      </c>
      <c r="K99" s="305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F99" s="334"/>
      <c r="AH99" s="334"/>
      <c r="AI99" s="442"/>
      <c r="AJ99" s="442"/>
      <c r="AK99" s="334"/>
      <c r="AL99" s="334"/>
    </row>
    <row r="100" spans="1:38" ht="12.75" customHeight="1" x14ac:dyDescent="0.25">
      <c r="A100" s="288"/>
      <c r="B100" s="276"/>
      <c r="C100" s="277" t="s">
        <v>392</v>
      </c>
      <c r="D100" s="276"/>
      <c r="E100" s="276"/>
      <c r="F100" s="276"/>
      <c r="G100" s="276"/>
      <c r="H100" s="276"/>
      <c r="I100" s="383"/>
      <c r="J100" s="294"/>
      <c r="K100" s="305"/>
      <c r="L100" s="283">
        <f>ROUND((VLOOKUP($J$92+J97+J100,TabelLøn,+L85,1)-VLOOKUP($J$92+J97,TabelLøn,+L85,1))*($I$84/$M$84),2)</f>
        <v>0</v>
      </c>
      <c r="M100" s="284">
        <f t="shared" ref="M100:M107" si="4">L100*12</f>
        <v>0</v>
      </c>
      <c r="N100" s="293"/>
      <c r="O100" s="293"/>
      <c r="P100" s="293"/>
      <c r="Q100" s="293"/>
      <c r="S100" s="632"/>
      <c r="T100" s="633"/>
      <c r="U100" s="633"/>
      <c r="V100" s="633"/>
      <c r="W100" s="633"/>
      <c r="X100" s="633"/>
      <c r="Y100" s="633"/>
      <c r="Z100" s="633"/>
      <c r="AA100" s="633"/>
      <c r="AB100" s="633"/>
      <c r="AC100" s="633"/>
      <c r="AD100" s="634"/>
      <c r="AF100" s="334"/>
      <c r="AH100" s="334"/>
      <c r="AI100" s="442"/>
      <c r="AJ100" s="442"/>
      <c r="AK100" s="334"/>
      <c r="AL100" s="334"/>
    </row>
    <row r="101" spans="1:38" ht="12.75" customHeight="1" x14ac:dyDescent="0.25">
      <c r="A101" s="288"/>
      <c r="B101" s="276"/>
      <c r="C101" s="277" t="s">
        <v>392</v>
      </c>
      <c r="D101" s="276"/>
      <c r="E101" s="276"/>
      <c r="F101" s="276"/>
      <c r="G101" s="276"/>
      <c r="H101" s="276"/>
      <c r="I101" s="383"/>
      <c r="J101" s="294"/>
      <c r="K101" s="305"/>
      <c r="L101" s="283">
        <f>ROUND((VLOOKUP($J$92+J97+J100+J101,TabelLøn,+L85,1)-VLOOKUP($J$92+J97+J100,TabelLøn,+L85,1))*($I$84/$M$84),2)</f>
        <v>0</v>
      </c>
      <c r="M101" s="284">
        <f t="shared" si="4"/>
        <v>0</v>
      </c>
      <c r="N101" s="293"/>
      <c r="O101" s="293"/>
      <c r="P101" s="293"/>
      <c r="Q101" s="293"/>
      <c r="S101" s="632"/>
      <c r="T101" s="633"/>
      <c r="U101" s="633"/>
      <c r="V101" s="633"/>
      <c r="W101" s="633"/>
      <c r="X101" s="633"/>
      <c r="Y101" s="633"/>
      <c r="Z101" s="633"/>
      <c r="AA101" s="633"/>
      <c r="AB101" s="633"/>
      <c r="AC101" s="633"/>
      <c r="AD101" s="634"/>
      <c r="AF101" s="334"/>
      <c r="AH101" s="334"/>
      <c r="AI101" s="442"/>
      <c r="AJ101" s="442"/>
      <c r="AK101" s="334"/>
      <c r="AL101" s="334"/>
    </row>
    <row r="102" spans="1:38" ht="12.75" customHeight="1" x14ac:dyDescent="0.25">
      <c r="A102" s="288"/>
      <c r="B102" s="276"/>
      <c r="C102" s="277" t="s">
        <v>392</v>
      </c>
      <c r="D102" s="276"/>
      <c r="E102" s="276"/>
      <c r="F102" s="276"/>
      <c r="G102" s="276"/>
      <c r="H102" s="276"/>
      <c r="I102" s="383"/>
      <c r="J102" s="294"/>
      <c r="K102" s="305"/>
      <c r="L102" s="283">
        <f>ROUND((VLOOKUP($J$92+J97+J100+J101+J102,TabelLøn,+L85,1)-VLOOKUP($J$92+J97+J100+J101,TabelLøn,+L85,1))*($I$84/$M$84),2)</f>
        <v>0</v>
      </c>
      <c r="M102" s="284">
        <f t="shared" si="4"/>
        <v>0</v>
      </c>
      <c r="N102" s="293"/>
      <c r="O102" s="293"/>
      <c r="P102" s="293"/>
      <c r="Q102" s="293"/>
      <c r="S102" s="632"/>
      <c r="T102" s="633"/>
      <c r="U102" s="633"/>
      <c r="V102" s="633"/>
      <c r="W102" s="633"/>
      <c r="X102" s="633"/>
      <c r="Y102" s="633"/>
      <c r="Z102" s="633"/>
      <c r="AA102" s="633"/>
      <c r="AB102" s="633"/>
      <c r="AC102" s="633"/>
      <c r="AD102" s="634"/>
      <c r="AF102" s="334"/>
      <c r="AH102" s="334"/>
      <c r="AI102" s="442"/>
      <c r="AJ102" s="442"/>
      <c r="AK102" s="334"/>
      <c r="AL102" s="334"/>
    </row>
    <row r="103" spans="1:38" ht="12.75" hidden="1" customHeight="1" x14ac:dyDescent="0.25">
      <c r="A103" s="288"/>
      <c r="B103" s="276"/>
      <c r="C103" s="277" t="s">
        <v>392</v>
      </c>
      <c r="D103" s="276"/>
      <c r="E103" s="276"/>
      <c r="F103" s="276"/>
      <c r="G103" s="276"/>
      <c r="H103" s="276"/>
      <c r="I103" s="382"/>
      <c r="J103" s="294"/>
      <c r="K103" s="305"/>
      <c r="L103" s="283">
        <f>ROUND((VLOOKUP($J$92+J97+J100+J101+J102+J103,TabelLøn,+L85,1)-VLOOKUP($J$92+J97+J100+J101+J102,TabelLøn,+L85,1))*($I$84/$M$84),2)</f>
        <v>0</v>
      </c>
      <c r="M103" s="284">
        <f t="shared" si="4"/>
        <v>0</v>
      </c>
      <c r="N103" s="293"/>
      <c r="O103" s="293"/>
      <c r="P103" s="293"/>
      <c r="Q103" s="293"/>
      <c r="S103" s="632"/>
      <c r="T103" s="633"/>
      <c r="U103" s="633"/>
      <c r="V103" s="633"/>
      <c r="W103" s="633"/>
      <c r="X103" s="633"/>
      <c r="Y103" s="633"/>
      <c r="Z103" s="633"/>
      <c r="AA103" s="633"/>
      <c r="AB103" s="633"/>
      <c r="AC103" s="633"/>
      <c r="AD103" s="634"/>
      <c r="AF103" s="334"/>
      <c r="AH103" s="334"/>
      <c r="AI103" s="442"/>
      <c r="AJ103" s="442"/>
      <c r="AK103" s="334"/>
      <c r="AL103" s="334"/>
    </row>
    <row r="104" spans="1:38" ht="12.75" hidden="1" customHeight="1" x14ac:dyDescent="0.25">
      <c r="A104" s="288"/>
      <c r="B104" s="276"/>
      <c r="C104" s="277" t="s">
        <v>393</v>
      </c>
      <c r="D104" s="276"/>
      <c r="E104" s="276"/>
      <c r="F104" s="276"/>
      <c r="G104" s="276"/>
      <c r="H104" s="289"/>
      <c r="I104" s="287"/>
      <c r="J104" s="384"/>
      <c r="K104" s="305"/>
      <c r="L104" s="283">
        <f>ROUND(I104/12*($I$84/$M$84)*(1+PctRegNyLøn%),2)</f>
        <v>0</v>
      </c>
      <c r="M104" s="284">
        <f t="shared" si="4"/>
        <v>0</v>
      </c>
      <c r="N104" s="293"/>
      <c r="O104" s="293"/>
      <c r="P104" s="293"/>
      <c r="Q104" s="293"/>
      <c r="S104" s="632"/>
      <c r="T104" s="633"/>
      <c r="U104" s="633"/>
      <c r="V104" s="633"/>
      <c r="W104" s="633"/>
      <c r="X104" s="633"/>
      <c r="Y104" s="633"/>
      <c r="Z104" s="633"/>
      <c r="AA104" s="633"/>
      <c r="AB104" s="633"/>
      <c r="AC104" s="633"/>
      <c r="AD104" s="634"/>
      <c r="AF104" s="334"/>
      <c r="AH104" s="334"/>
      <c r="AI104" s="442"/>
      <c r="AJ104" s="442"/>
      <c r="AK104" s="334"/>
      <c r="AL104" s="334"/>
    </row>
    <row r="105" spans="1:38" ht="12.75" customHeight="1" x14ac:dyDescent="0.25">
      <c r="A105" s="288"/>
      <c r="B105" s="276"/>
      <c r="C105" s="277" t="s">
        <v>393</v>
      </c>
      <c r="D105" s="276"/>
      <c r="E105" s="276"/>
      <c r="F105" s="276"/>
      <c r="G105" s="276"/>
      <c r="H105" s="289"/>
      <c r="I105" s="287"/>
      <c r="J105" s="385"/>
      <c r="K105" s="305"/>
      <c r="L105" s="283">
        <f>ROUND(I105/12*($I$84/$M$84)*(1+PctRegNyLøn%),2)</f>
        <v>0</v>
      </c>
      <c r="M105" s="284">
        <f t="shared" si="4"/>
        <v>0</v>
      </c>
      <c r="N105" s="293"/>
      <c r="O105" s="293"/>
      <c r="P105" s="293"/>
      <c r="Q105" s="293"/>
      <c r="S105" s="632"/>
      <c r="T105" s="633"/>
      <c r="U105" s="633"/>
      <c r="V105" s="633"/>
      <c r="W105" s="633"/>
      <c r="X105" s="633"/>
      <c r="Y105" s="633"/>
      <c r="Z105" s="633"/>
      <c r="AA105" s="633"/>
      <c r="AB105" s="633"/>
      <c r="AC105" s="633"/>
      <c r="AD105" s="634"/>
      <c r="AF105" s="334"/>
      <c r="AH105" s="334"/>
      <c r="AI105" s="442"/>
      <c r="AJ105" s="442"/>
      <c r="AK105" s="334"/>
      <c r="AL105" s="334"/>
    </row>
    <row r="106" spans="1:38" ht="12.75" customHeight="1" x14ac:dyDescent="0.25">
      <c r="A106" s="288"/>
      <c r="B106" s="276"/>
      <c r="C106" s="277" t="s">
        <v>393</v>
      </c>
      <c r="D106" s="276"/>
      <c r="E106" s="276"/>
      <c r="F106" s="276"/>
      <c r="G106" s="276"/>
      <c r="H106" s="289"/>
      <c r="I106" s="287"/>
      <c r="J106" s="385"/>
      <c r="K106" s="305"/>
      <c r="L106" s="283">
        <f>ROUND(I106/12*($I$84/$M$84)*(1+PctRegNyLøn%),2)</f>
        <v>0</v>
      </c>
      <c r="M106" s="284">
        <f t="shared" si="4"/>
        <v>0</v>
      </c>
      <c r="N106" s="293"/>
      <c r="O106" s="293"/>
      <c r="P106" s="293"/>
      <c r="Q106" s="293"/>
      <c r="S106" s="632"/>
      <c r="T106" s="633"/>
      <c r="U106" s="633"/>
      <c r="V106" s="633"/>
      <c r="W106" s="633"/>
      <c r="X106" s="633"/>
      <c r="Y106" s="633"/>
      <c r="Z106" s="633"/>
      <c r="AA106" s="633"/>
      <c r="AB106" s="633"/>
      <c r="AC106" s="633"/>
      <c r="AD106" s="634"/>
      <c r="AF106" s="334"/>
      <c r="AH106" s="334"/>
      <c r="AI106" s="442"/>
      <c r="AJ106" s="442"/>
      <c r="AK106" s="334"/>
      <c r="AL106" s="334"/>
    </row>
    <row r="107" spans="1:38" ht="12.75" customHeight="1" x14ac:dyDescent="0.25">
      <c r="A107" s="288"/>
      <c r="B107" s="276"/>
      <c r="C107" s="277" t="s">
        <v>393</v>
      </c>
      <c r="D107" s="276"/>
      <c r="E107" s="276"/>
      <c r="F107" s="276"/>
      <c r="G107" s="276"/>
      <c r="H107" s="289"/>
      <c r="I107" s="287"/>
      <c r="J107" s="385"/>
      <c r="K107" s="305"/>
      <c r="L107" s="283">
        <f>ROUND(I107/12*($I$84/$M$84)*(1+PctRegNyLøn%),2)</f>
        <v>0</v>
      </c>
      <c r="M107" s="284">
        <f t="shared" si="4"/>
        <v>0</v>
      </c>
      <c r="N107" s="293"/>
      <c r="O107" s="293"/>
      <c r="P107" s="293"/>
      <c r="Q107" s="293"/>
      <c r="S107" s="632"/>
      <c r="T107" s="633"/>
      <c r="U107" s="633"/>
      <c r="V107" s="633"/>
      <c r="W107" s="633"/>
      <c r="X107" s="633"/>
      <c r="Y107" s="633"/>
      <c r="Z107" s="633"/>
      <c r="AA107" s="633"/>
      <c r="AB107" s="633"/>
      <c r="AC107" s="633"/>
      <c r="AD107" s="634"/>
      <c r="AF107" s="334"/>
      <c r="AH107" s="334"/>
      <c r="AI107" s="442"/>
      <c r="AJ107" s="442"/>
      <c r="AK107" s="334"/>
      <c r="AL107" s="334"/>
    </row>
    <row r="108" spans="1:38" ht="6" customHeight="1" x14ac:dyDescent="0.25">
      <c r="A108" s="288"/>
      <c r="B108" s="276"/>
      <c r="K108" s="305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F108" s="334"/>
      <c r="AH108" s="334"/>
      <c r="AI108" s="442"/>
      <c r="AJ108" s="442"/>
      <c r="AK108" s="334"/>
      <c r="AL108" s="334"/>
    </row>
    <row r="109" spans="1:38" ht="12.75" customHeight="1" x14ac:dyDescent="0.25">
      <c r="A109" s="288"/>
      <c r="B109" s="276"/>
      <c r="C109" s="277" t="s">
        <v>402</v>
      </c>
      <c r="D109" s="276"/>
      <c r="E109" s="276"/>
      <c r="F109" s="276"/>
      <c r="G109" s="276"/>
      <c r="H109" s="289"/>
      <c r="I109" s="287"/>
      <c r="J109" s="385"/>
      <c r="K109" s="305"/>
      <c r="L109" s="283">
        <f>ROUND(I109/12*($I$84/$M$84)*(1+PctRegNyLøn%),2)</f>
        <v>0</v>
      </c>
      <c r="M109" s="284">
        <f>L109*12</f>
        <v>0</v>
      </c>
      <c r="N109" s="293"/>
      <c r="O109" s="293"/>
      <c r="P109" s="293"/>
      <c r="Q109" s="293"/>
      <c r="S109" s="632"/>
      <c r="T109" s="633"/>
      <c r="U109" s="633"/>
      <c r="V109" s="633"/>
      <c r="W109" s="633"/>
      <c r="X109" s="633"/>
      <c r="Y109" s="633"/>
      <c r="Z109" s="633"/>
      <c r="AA109" s="633"/>
      <c r="AB109" s="633"/>
      <c r="AC109" s="633"/>
      <c r="AD109" s="634"/>
      <c r="AF109" s="334"/>
      <c r="AH109" s="334"/>
      <c r="AI109" s="442"/>
      <c r="AJ109" s="442"/>
      <c r="AK109" s="334"/>
      <c r="AL109" s="334"/>
    </row>
    <row r="110" spans="1:38" ht="12.75" customHeight="1" x14ac:dyDescent="0.25">
      <c r="A110" s="288"/>
      <c r="B110" s="276"/>
      <c r="C110" s="277" t="s">
        <v>391</v>
      </c>
      <c r="D110" s="276"/>
      <c r="E110" s="276"/>
      <c r="F110" s="276"/>
      <c r="G110" s="276"/>
      <c r="H110" s="289"/>
      <c r="I110" s="287"/>
      <c r="J110" s="385"/>
      <c r="K110" s="305"/>
      <c r="L110" s="283">
        <f>ROUND(I110/12*($I$84/$M$84)*(1+PctRegNyLøn%),2)</f>
        <v>0</v>
      </c>
      <c r="M110" s="284">
        <f>L110*12</f>
        <v>0</v>
      </c>
      <c r="N110" s="293"/>
      <c r="O110" s="293"/>
      <c r="P110" s="293"/>
      <c r="Q110" s="293"/>
      <c r="S110" s="632"/>
      <c r="T110" s="633"/>
      <c r="U110" s="633"/>
      <c r="V110" s="633"/>
      <c r="W110" s="633"/>
      <c r="X110" s="633"/>
      <c r="Y110" s="633"/>
      <c r="Z110" s="633"/>
      <c r="AA110" s="633"/>
      <c r="AB110" s="633"/>
      <c r="AC110" s="633"/>
      <c r="AD110" s="634"/>
      <c r="AF110" s="334"/>
      <c r="AH110" s="334"/>
      <c r="AI110" s="442"/>
      <c r="AJ110" s="442"/>
      <c r="AK110" s="334"/>
      <c r="AL110" s="334"/>
    </row>
    <row r="111" spans="1:38" ht="6" customHeight="1" x14ac:dyDescent="0.25">
      <c r="A111" s="288"/>
      <c r="B111" s="276"/>
      <c r="C111" s="299" t="s">
        <v>387</v>
      </c>
      <c r="K111" s="305"/>
      <c r="R111" s="723" t="s">
        <v>449</v>
      </c>
      <c r="S111" s="723"/>
      <c r="T111" s="723"/>
      <c r="U111" s="723"/>
      <c r="V111" s="723"/>
      <c r="W111" s="723"/>
      <c r="X111" s="723"/>
      <c r="Y111" s="723"/>
      <c r="Z111" s="723"/>
      <c r="AA111" s="723"/>
      <c r="AB111" s="723"/>
      <c r="AC111" s="723"/>
      <c r="AD111" s="723"/>
      <c r="AE111" s="723"/>
      <c r="AF111" s="334"/>
      <c r="AH111" s="334"/>
      <c r="AI111" s="442"/>
      <c r="AJ111" s="442"/>
      <c r="AK111" s="334"/>
      <c r="AL111" s="334"/>
    </row>
    <row r="112" spans="1:38" ht="12.75" customHeight="1" x14ac:dyDescent="0.25">
      <c r="A112" s="288"/>
      <c r="B112" s="297" t="s">
        <v>145</v>
      </c>
      <c r="C112" s="276"/>
      <c r="D112" s="276"/>
      <c r="E112" s="276"/>
      <c r="F112" s="276"/>
      <c r="G112" s="276"/>
      <c r="H112" s="276"/>
      <c r="I112" s="276"/>
      <c r="J112" s="280"/>
      <c r="K112" s="305"/>
      <c r="L112" s="276"/>
      <c r="M112" s="276"/>
      <c r="N112" s="276"/>
      <c r="O112" s="276"/>
      <c r="P112" s="276"/>
      <c r="Q112" s="276"/>
      <c r="R112" s="723"/>
      <c r="S112" s="723"/>
      <c r="T112" s="723"/>
      <c r="U112" s="723"/>
      <c r="V112" s="723"/>
      <c r="W112" s="723"/>
      <c r="X112" s="723"/>
      <c r="Y112" s="723"/>
      <c r="Z112" s="723"/>
      <c r="AA112" s="723"/>
      <c r="AB112" s="723"/>
      <c r="AC112" s="723"/>
      <c r="AD112" s="723"/>
      <c r="AE112" s="723"/>
      <c r="AF112" s="334"/>
      <c r="AH112" s="334"/>
      <c r="AI112" s="442"/>
      <c r="AJ112" s="442"/>
      <c r="AK112" s="334"/>
      <c r="AL112" s="334"/>
    </row>
    <row r="113" spans="1:38" ht="6" customHeight="1" x14ac:dyDescent="0.25">
      <c r="A113" s="288"/>
      <c r="B113" s="276"/>
      <c r="C113" s="299" t="s">
        <v>387</v>
      </c>
      <c r="K113" s="305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F113" s="334"/>
      <c r="AH113" s="334"/>
      <c r="AI113" s="442"/>
      <c r="AJ113" s="442"/>
      <c r="AK113" s="334"/>
      <c r="AL113" s="334"/>
    </row>
    <row r="114" spans="1:38" ht="12.75" customHeight="1" x14ac:dyDescent="0.25">
      <c r="A114" s="288"/>
      <c r="B114" s="276"/>
      <c r="C114" s="277" t="s">
        <v>396</v>
      </c>
      <c r="D114" s="276"/>
      <c r="E114" s="276"/>
      <c r="F114" s="276"/>
      <c r="G114" s="276"/>
      <c r="H114" s="276"/>
      <c r="I114" s="383"/>
      <c r="J114" s="294"/>
      <c r="K114" s="305"/>
      <c r="L114" s="283">
        <f>ROUND((VLOOKUP($J$92+J97+J100+J101+J102+J103+J114,TabelLøn,+L85,1)-VLOOKUP($J$92+J97+J100+J101+J102+J103,TabelLøn,+L85,1))*($I$84/$M$84),2)</f>
        <v>0</v>
      </c>
      <c r="M114" s="284">
        <f t="shared" ref="M114:M119" si="5">L114*12</f>
        <v>0</v>
      </c>
      <c r="N114" s="293"/>
      <c r="O114" s="293"/>
      <c r="P114" s="293"/>
      <c r="Q114" s="293"/>
      <c r="S114" s="632"/>
      <c r="T114" s="633"/>
      <c r="U114" s="633"/>
      <c r="V114" s="633"/>
      <c r="W114" s="633"/>
      <c r="X114" s="633"/>
      <c r="Y114" s="633"/>
      <c r="Z114" s="633"/>
      <c r="AA114" s="633"/>
      <c r="AB114" s="633"/>
      <c r="AC114" s="633"/>
      <c r="AD114" s="634"/>
      <c r="AF114" s="334"/>
      <c r="AH114" s="334"/>
      <c r="AI114" s="442"/>
      <c r="AJ114" s="442"/>
      <c r="AK114" s="334"/>
      <c r="AL114" s="334"/>
    </row>
    <row r="115" spans="1:38" ht="12.75" customHeight="1" x14ac:dyDescent="0.25">
      <c r="A115" s="288"/>
      <c r="B115" s="276"/>
      <c r="C115" s="277" t="s">
        <v>396</v>
      </c>
      <c r="D115" s="276"/>
      <c r="E115" s="276"/>
      <c r="F115" s="276"/>
      <c r="G115" s="276"/>
      <c r="H115" s="276"/>
      <c r="I115" s="383"/>
      <c r="J115" s="294"/>
      <c r="K115" s="305"/>
      <c r="L115" s="283">
        <f>ROUND((VLOOKUP($J$92+J97+J100+J101+J102+J103+J114+J115,TabelLøn,+L85,1)-VLOOKUP($J$92+J97+J100+J101+J102+J103+J114,TabelLøn,+L85,1))*($I$84/$M$84),2)</f>
        <v>0</v>
      </c>
      <c r="M115" s="284">
        <f t="shared" si="5"/>
        <v>0</v>
      </c>
      <c r="N115" s="293"/>
      <c r="O115" s="293"/>
      <c r="P115" s="293"/>
      <c r="Q115" s="293"/>
      <c r="S115" s="632"/>
      <c r="T115" s="633"/>
      <c r="U115" s="633"/>
      <c r="V115" s="633"/>
      <c r="W115" s="633"/>
      <c r="X115" s="633"/>
      <c r="Y115" s="633"/>
      <c r="Z115" s="633"/>
      <c r="AA115" s="633"/>
      <c r="AB115" s="633"/>
      <c r="AC115" s="633"/>
      <c r="AD115" s="634"/>
      <c r="AF115" s="334"/>
      <c r="AH115" s="334"/>
      <c r="AI115" s="442"/>
      <c r="AJ115" s="442"/>
      <c r="AK115" s="334"/>
      <c r="AL115" s="334"/>
    </row>
    <row r="116" spans="1:38" ht="12.75" customHeight="1" x14ac:dyDescent="0.25">
      <c r="A116" s="288"/>
      <c r="B116" s="276"/>
      <c r="C116" s="277" t="s">
        <v>396</v>
      </c>
      <c r="D116" s="276"/>
      <c r="E116" s="276"/>
      <c r="F116" s="276"/>
      <c r="G116" s="276"/>
      <c r="H116" s="276"/>
      <c r="I116" s="382"/>
      <c r="J116" s="294"/>
      <c r="K116" s="305"/>
      <c r="L116" s="283">
        <f>ROUND((VLOOKUP($J$92+J97+J100+J101+J102+J103+J114+J115+J116,TabelLøn,+L85,1)-VLOOKUP($J$92+J97+J100+J101+J102+J103+J114+J115,TabelLøn,+L85,1))*($I$84/$M$84),2)</f>
        <v>0</v>
      </c>
      <c r="M116" s="284">
        <f t="shared" si="5"/>
        <v>0</v>
      </c>
      <c r="N116" s="293"/>
      <c r="O116" s="293"/>
      <c r="P116" s="293"/>
      <c r="Q116" s="293"/>
      <c r="S116" s="632"/>
      <c r="T116" s="633"/>
      <c r="U116" s="633"/>
      <c r="V116" s="633"/>
      <c r="W116" s="633"/>
      <c r="X116" s="633"/>
      <c r="Y116" s="633"/>
      <c r="Z116" s="633"/>
      <c r="AA116" s="633"/>
      <c r="AB116" s="633"/>
      <c r="AC116" s="633"/>
      <c r="AD116" s="634"/>
      <c r="AF116" s="334"/>
      <c r="AH116" s="334"/>
      <c r="AI116" s="442"/>
      <c r="AJ116" s="442"/>
      <c r="AK116" s="334"/>
      <c r="AL116" s="334"/>
    </row>
    <row r="117" spans="1:38" ht="12.75" customHeight="1" x14ac:dyDescent="0.25">
      <c r="B117" s="276"/>
      <c r="C117" s="277" t="s">
        <v>397</v>
      </c>
      <c r="D117" s="276"/>
      <c r="E117" s="276"/>
      <c r="F117" s="276"/>
      <c r="G117" s="276"/>
      <c r="H117" s="289"/>
      <c r="I117" s="287"/>
      <c r="J117" s="386"/>
      <c r="K117" s="305"/>
      <c r="L117" s="283">
        <f>ROUND(I117/12*($I$84/$M$84)*(1+PctRegNyLøn%),2)</f>
        <v>0</v>
      </c>
      <c r="M117" s="284">
        <f t="shared" si="5"/>
        <v>0</v>
      </c>
      <c r="N117" s="293"/>
      <c r="O117" s="293"/>
      <c r="P117" s="293"/>
      <c r="Q117" s="293"/>
      <c r="S117" s="632"/>
      <c r="T117" s="633"/>
      <c r="U117" s="633"/>
      <c r="V117" s="633"/>
      <c r="W117" s="633"/>
      <c r="X117" s="633"/>
      <c r="Y117" s="633"/>
      <c r="Z117" s="633"/>
      <c r="AA117" s="633"/>
      <c r="AB117" s="633"/>
      <c r="AC117" s="633"/>
      <c r="AD117" s="634"/>
      <c r="AF117" s="334"/>
      <c r="AH117" s="334"/>
      <c r="AI117" s="442"/>
      <c r="AJ117" s="442"/>
      <c r="AK117" s="334"/>
      <c r="AL117" s="334"/>
    </row>
    <row r="118" spans="1:38" ht="12.75" customHeight="1" x14ac:dyDescent="0.25">
      <c r="B118" s="276"/>
      <c r="C118" s="277" t="s">
        <v>397</v>
      </c>
      <c r="D118" s="276"/>
      <c r="E118" s="276"/>
      <c r="F118" s="276"/>
      <c r="G118" s="276"/>
      <c r="H118" s="289"/>
      <c r="I118" s="287"/>
      <c r="J118" s="387"/>
      <c r="K118" s="305"/>
      <c r="L118" s="283">
        <f>ROUND(I118/12*($I$84/$M$84)*(1+PctRegNyLøn%),2)</f>
        <v>0</v>
      </c>
      <c r="M118" s="284">
        <f t="shared" si="5"/>
        <v>0</v>
      </c>
      <c r="N118" s="293"/>
      <c r="O118" s="293"/>
      <c r="P118" s="293"/>
      <c r="Q118" s="293"/>
      <c r="S118" s="632"/>
      <c r="T118" s="633"/>
      <c r="U118" s="633"/>
      <c r="V118" s="633"/>
      <c r="W118" s="633"/>
      <c r="X118" s="633"/>
      <c r="Y118" s="633"/>
      <c r="Z118" s="633"/>
      <c r="AA118" s="633"/>
      <c r="AB118" s="633"/>
      <c r="AC118" s="633"/>
      <c r="AD118" s="634"/>
      <c r="AF118" s="334"/>
      <c r="AH118" s="334"/>
      <c r="AI118" s="442"/>
      <c r="AJ118" s="442"/>
      <c r="AK118" s="334"/>
      <c r="AL118" s="334"/>
    </row>
    <row r="119" spans="1:38" ht="12.75" customHeight="1" x14ac:dyDescent="0.25">
      <c r="B119" s="276"/>
      <c r="C119" s="277" t="s">
        <v>397</v>
      </c>
      <c r="D119" s="276"/>
      <c r="E119" s="276"/>
      <c r="F119" s="276"/>
      <c r="G119" s="276"/>
      <c r="H119" s="289"/>
      <c r="I119" s="287"/>
      <c r="J119" s="387"/>
      <c r="K119" s="305"/>
      <c r="L119" s="283">
        <f>ROUND(I119/12*($I$84/$M$84)*(1+PctRegNyLøn%),2)</f>
        <v>0</v>
      </c>
      <c r="M119" s="284">
        <f t="shared" si="5"/>
        <v>0</v>
      </c>
      <c r="N119" s="293"/>
      <c r="O119" s="293"/>
      <c r="P119" s="293"/>
      <c r="Q119" s="293"/>
      <c r="S119" s="632"/>
      <c r="T119" s="633"/>
      <c r="U119" s="633"/>
      <c r="V119" s="633"/>
      <c r="W119" s="633"/>
      <c r="X119" s="633"/>
      <c r="Y119" s="633"/>
      <c r="Z119" s="633"/>
      <c r="AA119" s="633"/>
      <c r="AB119" s="633"/>
      <c r="AC119" s="633"/>
      <c r="AD119" s="634"/>
      <c r="AF119" s="334"/>
      <c r="AH119" s="334"/>
      <c r="AI119" s="442"/>
      <c r="AJ119" s="442"/>
      <c r="AK119" s="334"/>
      <c r="AL119" s="334"/>
    </row>
    <row r="120" spans="1:38" ht="6" customHeight="1" x14ac:dyDescent="0.25">
      <c r="A120" s="288"/>
      <c r="B120" s="276"/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F120" s="334"/>
      <c r="AH120" s="334"/>
      <c r="AI120" s="442"/>
      <c r="AJ120" s="442"/>
      <c r="AK120" s="334"/>
      <c r="AL120" s="334"/>
    </row>
    <row r="121" spans="1:38" ht="12.75" customHeight="1" x14ac:dyDescent="0.25">
      <c r="A121" s="288"/>
      <c r="B121" s="276"/>
      <c r="C121" s="277" t="s">
        <v>400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ROUND((VLOOKUP($J$92+J97+J100+J101+J102+J103+J114+J115+J116+J121,TabelLøn,+L85,1)-VLOOKUP($J$92+J97+J100+J101+J102+J103+J114+J115+J116,TabelLøn,+L85,1))*($I$84/$M$84),2)</f>
        <v>0</v>
      </c>
      <c r="M121" s="284">
        <f t="shared" ref="M121:M130" si="6">L121*12</f>
        <v>0</v>
      </c>
      <c r="N121" s="293"/>
      <c r="O121" s="293"/>
      <c r="P121" s="293"/>
      <c r="Q121" s="293"/>
      <c r="S121" s="632"/>
      <c r="T121" s="633"/>
      <c r="U121" s="633"/>
      <c r="V121" s="633"/>
      <c r="W121" s="633"/>
      <c r="X121" s="633"/>
      <c r="Y121" s="633"/>
      <c r="Z121" s="633"/>
      <c r="AA121" s="633"/>
      <c r="AB121" s="633"/>
      <c r="AC121" s="633"/>
      <c r="AD121" s="634"/>
      <c r="AF121" s="334"/>
      <c r="AH121" s="334"/>
      <c r="AI121" s="442"/>
      <c r="AJ121" s="442"/>
      <c r="AK121" s="334"/>
      <c r="AL121" s="334"/>
    </row>
    <row r="122" spans="1:38" ht="12.75" customHeight="1" x14ac:dyDescent="0.25">
      <c r="A122" s="288"/>
      <c r="B122" s="276"/>
      <c r="C122" s="277" t="s">
        <v>400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ROUND((VLOOKUP($J$92+J97+J100+J101+J102+J103+J114+J115+J116+J121+J122,TabelLøn,+L85,1)-VLOOKUP($J$92+J97+J100+J101+J102+J103+J114+J115+J116+J121,TabelLøn,+L85,1))*($I$84/$M$84),2)</f>
        <v>0</v>
      </c>
      <c r="M122" s="284">
        <f t="shared" si="6"/>
        <v>0</v>
      </c>
      <c r="N122" s="293"/>
      <c r="O122" s="293"/>
      <c r="P122" s="293"/>
      <c r="Q122" s="293"/>
      <c r="S122" s="632"/>
      <c r="T122" s="633"/>
      <c r="U122" s="633"/>
      <c r="V122" s="633"/>
      <c r="W122" s="633"/>
      <c r="X122" s="633"/>
      <c r="Y122" s="633"/>
      <c r="Z122" s="633"/>
      <c r="AA122" s="633"/>
      <c r="AB122" s="633"/>
      <c r="AC122" s="633"/>
      <c r="AD122" s="634"/>
      <c r="AF122" s="334"/>
      <c r="AH122" s="334"/>
      <c r="AI122" s="442"/>
      <c r="AJ122" s="442"/>
      <c r="AK122" s="334"/>
      <c r="AL122" s="334"/>
    </row>
    <row r="123" spans="1:38" ht="12.75" customHeight="1" x14ac:dyDescent="0.25">
      <c r="A123" s="288"/>
      <c r="B123" s="276"/>
      <c r="C123" s="277" t="s">
        <v>400</v>
      </c>
      <c r="D123" s="276"/>
      <c r="E123" s="276"/>
      <c r="F123" s="276"/>
      <c r="G123" s="276"/>
      <c r="H123" s="276"/>
      <c r="I123" s="383"/>
      <c r="J123" s="294"/>
      <c r="K123" s="305"/>
      <c r="L123" s="283">
        <f>ROUND((VLOOKUP($J$92+J97+J100+J101+J102+J103+J114+J115+J116+J121+J122+J123,TabelLøn,+L85,1)-VLOOKUP($J$92+J97+J100+J101+J102+J103+J114+J115+J116+J121+J122,TabelLøn,+L85,1))*($I$84/$M$84),2)</f>
        <v>0</v>
      </c>
      <c r="M123" s="284">
        <f t="shared" si="6"/>
        <v>0</v>
      </c>
      <c r="N123" s="293"/>
      <c r="O123" s="293"/>
      <c r="P123" s="293"/>
      <c r="Q123" s="293"/>
      <c r="S123" s="632"/>
      <c r="T123" s="633"/>
      <c r="U123" s="633"/>
      <c r="V123" s="633"/>
      <c r="W123" s="633"/>
      <c r="X123" s="633"/>
      <c r="Y123" s="633"/>
      <c r="Z123" s="633"/>
      <c r="AA123" s="633"/>
      <c r="AB123" s="633"/>
      <c r="AC123" s="633"/>
      <c r="AD123" s="634"/>
      <c r="AF123" s="334"/>
      <c r="AH123" s="334"/>
      <c r="AI123" s="442"/>
      <c r="AJ123" s="442"/>
      <c r="AK123" s="334"/>
      <c r="AL123" s="334"/>
    </row>
    <row r="124" spans="1:38" ht="12.75" customHeight="1" x14ac:dyDescent="0.25">
      <c r="A124" s="288"/>
      <c r="B124" s="276"/>
      <c r="C124" s="277" t="s">
        <v>400</v>
      </c>
      <c r="D124" s="276"/>
      <c r="E124" s="276"/>
      <c r="F124" s="276"/>
      <c r="G124" s="276"/>
      <c r="H124" s="276"/>
      <c r="I124" s="383"/>
      <c r="J124" s="294"/>
      <c r="K124" s="305"/>
      <c r="L124" s="283">
        <f>ROUND((VLOOKUP($J$92+J97+J100+J101+J102+J103+J114+J115+J116+J121+J122+J123+J124,TabelLøn,+L85,1)-VLOOKUP($J$92+J97+J100+J101+J102+J103+J114+J115+J116+J121+J122+J123,TabelLøn,+L85,1))*($I$84/$M$84),2)</f>
        <v>0</v>
      </c>
      <c r="M124" s="284">
        <f t="shared" si="6"/>
        <v>0</v>
      </c>
      <c r="N124" s="293"/>
      <c r="O124" s="293"/>
      <c r="P124" s="293"/>
      <c r="Q124" s="293"/>
      <c r="S124" s="545"/>
      <c r="T124" s="546"/>
      <c r="U124" s="546"/>
      <c r="V124" s="546"/>
      <c r="W124" s="546"/>
      <c r="X124" s="546"/>
      <c r="Y124" s="546"/>
      <c r="Z124" s="546"/>
      <c r="AA124" s="546"/>
      <c r="AB124" s="546"/>
      <c r="AC124" s="546"/>
      <c r="AD124" s="547"/>
      <c r="AF124" s="334"/>
      <c r="AH124" s="334"/>
      <c r="AI124" s="442"/>
      <c r="AJ124" s="442"/>
      <c r="AK124" s="334"/>
      <c r="AL124" s="334"/>
    </row>
    <row r="125" spans="1:38" ht="12.75" customHeight="1" x14ac:dyDescent="0.25">
      <c r="A125" s="288"/>
      <c r="B125" s="276"/>
      <c r="C125" s="277" t="s">
        <v>400</v>
      </c>
      <c r="D125" s="276"/>
      <c r="E125" s="276"/>
      <c r="F125" s="276"/>
      <c r="G125" s="276"/>
      <c r="H125" s="276"/>
      <c r="I125" s="383"/>
      <c r="J125" s="294"/>
      <c r="K125" s="305"/>
      <c r="L125" s="283">
        <f>ROUND((VLOOKUP($J$92+J97+J100+J101+J102+J103+J114+J115+J116+J121+J122+J123+J124+J125,TabelLøn,+L85,1)-VLOOKUP($J$92+J97+J100+J101+J102+J103+J114+J115+J116+J121+J122+J123+J124,TabelLøn,+L85,1))*($I$84/$M$84),2)</f>
        <v>0</v>
      </c>
      <c r="M125" s="284">
        <f t="shared" si="6"/>
        <v>0</v>
      </c>
      <c r="N125" s="293"/>
      <c r="O125" s="293"/>
      <c r="P125" s="293"/>
      <c r="Q125" s="293"/>
      <c r="S125" s="545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547"/>
      <c r="AF125" s="334"/>
      <c r="AH125" s="334"/>
      <c r="AI125" s="442"/>
      <c r="AJ125" s="442"/>
      <c r="AK125" s="334"/>
      <c r="AL125" s="334"/>
    </row>
    <row r="126" spans="1:38" ht="12.75" customHeight="1" x14ac:dyDescent="0.25">
      <c r="A126" s="288"/>
      <c r="B126" s="276"/>
      <c r="C126" s="277" t="s">
        <v>400</v>
      </c>
      <c r="D126" s="276"/>
      <c r="E126" s="276"/>
      <c r="F126" s="276"/>
      <c r="G126" s="276"/>
      <c r="H126" s="276"/>
      <c r="I126" s="382"/>
      <c r="J126" s="294"/>
      <c r="K126" s="305"/>
      <c r="L126" s="283">
        <f>ROUND((VLOOKUP($J$92+J97+J100+J101+J102+J103+J114+J115+J116+J121+J122+J123+J124+J125+J126,TabelLøn,+L85,1)-VLOOKUP($J$92+J97+J100+J101+J102+J103+J114+J115+J116+J121+J122+J123+J124+J125,TabelLøn,+L85,1))*($I$84/$M$84),2)</f>
        <v>0</v>
      </c>
      <c r="M126" s="284">
        <f t="shared" si="6"/>
        <v>0</v>
      </c>
      <c r="N126" s="293"/>
      <c r="O126" s="293"/>
      <c r="P126" s="293"/>
      <c r="Q126" s="293"/>
      <c r="S126" s="632"/>
      <c r="T126" s="633"/>
      <c r="U126" s="633"/>
      <c r="V126" s="633"/>
      <c r="W126" s="633"/>
      <c r="X126" s="633"/>
      <c r="Y126" s="633"/>
      <c r="Z126" s="633"/>
      <c r="AA126" s="633"/>
      <c r="AB126" s="633"/>
      <c r="AC126" s="633"/>
      <c r="AD126" s="634"/>
      <c r="AF126" s="334"/>
      <c r="AH126" s="334"/>
      <c r="AI126" s="442"/>
      <c r="AJ126" s="442"/>
      <c r="AK126" s="334"/>
      <c r="AL126" s="334"/>
    </row>
    <row r="127" spans="1:38" ht="12.75" customHeight="1" x14ac:dyDescent="0.25">
      <c r="A127" s="288"/>
      <c r="B127" s="276"/>
      <c r="C127" s="277" t="s">
        <v>401</v>
      </c>
      <c r="D127" s="276"/>
      <c r="E127" s="276"/>
      <c r="F127" s="276"/>
      <c r="G127" s="276"/>
      <c r="H127" s="289"/>
      <c r="I127" s="287"/>
      <c r="J127" s="386"/>
      <c r="K127" s="305"/>
      <c r="L127" s="283">
        <f>ROUND(I127/12*($I$84/$M$84)*(1+PctRegNyLøn%),2)</f>
        <v>0</v>
      </c>
      <c r="M127" s="284">
        <f t="shared" si="6"/>
        <v>0</v>
      </c>
      <c r="N127" s="293"/>
      <c r="O127" s="293"/>
      <c r="P127" s="293"/>
      <c r="Q127" s="293"/>
      <c r="S127" s="632"/>
      <c r="T127" s="633"/>
      <c r="U127" s="633"/>
      <c r="V127" s="633"/>
      <c r="W127" s="633"/>
      <c r="X127" s="633"/>
      <c r="Y127" s="633"/>
      <c r="Z127" s="633"/>
      <c r="AA127" s="633"/>
      <c r="AB127" s="633"/>
      <c r="AC127" s="633"/>
      <c r="AD127" s="634"/>
      <c r="AF127" s="334"/>
      <c r="AH127" s="334"/>
      <c r="AI127" s="442"/>
      <c r="AJ127" s="442"/>
      <c r="AK127" s="334"/>
      <c r="AL127" s="334"/>
    </row>
    <row r="128" spans="1:38" ht="12.75" customHeight="1" x14ac:dyDescent="0.25">
      <c r="A128" s="288"/>
      <c r="B128" s="276"/>
      <c r="C128" s="277" t="s">
        <v>401</v>
      </c>
      <c r="D128" s="276"/>
      <c r="E128" s="276"/>
      <c r="F128" s="276"/>
      <c r="G128" s="276"/>
      <c r="H128" s="289"/>
      <c r="I128" s="287"/>
      <c r="J128" s="387"/>
      <c r="K128" s="305"/>
      <c r="L128" s="283">
        <f>ROUND(I128/12*($I$84/$M$84)*(1+PctRegNyLøn%),2)</f>
        <v>0</v>
      </c>
      <c r="M128" s="284">
        <f t="shared" si="6"/>
        <v>0</v>
      </c>
      <c r="N128" s="293"/>
      <c r="O128" s="293"/>
      <c r="P128" s="293"/>
      <c r="Q128" s="293"/>
      <c r="S128" s="632"/>
      <c r="T128" s="633"/>
      <c r="U128" s="633"/>
      <c r="V128" s="633"/>
      <c r="W128" s="633"/>
      <c r="X128" s="633"/>
      <c r="Y128" s="633"/>
      <c r="Z128" s="633"/>
      <c r="AA128" s="633"/>
      <c r="AB128" s="633"/>
      <c r="AC128" s="633"/>
      <c r="AD128" s="634"/>
      <c r="AF128" s="334"/>
      <c r="AH128" s="334"/>
      <c r="AI128" s="442"/>
      <c r="AJ128" s="442"/>
      <c r="AK128" s="334"/>
      <c r="AL128" s="334"/>
    </row>
    <row r="129" spans="1:38" ht="12.75" customHeight="1" x14ac:dyDescent="0.25">
      <c r="A129" s="288"/>
      <c r="B129" s="276"/>
      <c r="C129" s="277" t="s">
        <v>401</v>
      </c>
      <c r="D129" s="276"/>
      <c r="E129" s="276"/>
      <c r="F129" s="276"/>
      <c r="G129" s="276"/>
      <c r="H129" s="289"/>
      <c r="I129" s="287"/>
      <c r="J129" s="387"/>
      <c r="K129" s="305"/>
      <c r="L129" s="283">
        <f>ROUND(I129/12*($I$84/$M$84)*(1+PctRegNyLøn%),2)</f>
        <v>0</v>
      </c>
      <c r="M129" s="284">
        <f t="shared" si="6"/>
        <v>0</v>
      </c>
      <c r="N129" s="293"/>
      <c r="O129" s="293"/>
      <c r="P129" s="293"/>
      <c r="Q129" s="293"/>
      <c r="S129" s="632"/>
      <c r="T129" s="633"/>
      <c r="U129" s="633"/>
      <c r="V129" s="633"/>
      <c r="W129" s="633"/>
      <c r="X129" s="633"/>
      <c r="Y129" s="633"/>
      <c r="Z129" s="633"/>
      <c r="AA129" s="633"/>
      <c r="AB129" s="633"/>
      <c r="AC129" s="633"/>
      <c r="AD129" s="634"/>
      <c r="AF129" s="334"/>
      <c r="AH129" s="334"/>
      <c r="AI129" s="442"/>
      <c r="AJ129" s="442"/>
      <c r="AK129" s="334"/>
      <c r="AL129" s="334"/>
    </row>
    <row r="130" spans="1:38" ht="12.75" customHeight="1" x14ac:dyDescent="0.25">
      <c r="A130" s="288"/>
      <c r="B130" s="276"/>
      <c r="C130" s="277" t="s">
        <v>401</v>
      </c>
      <c r="D130" s="276"/>
      <c r="E130" s="276"/>
      <c r="F130" s="276"/>
      <c r="G130" s="276"/>
      <c r="H130" s="289"/>
      <c r="I130" s="287"/>
      <c r="J130" s="387"/>
      <c r="K130" s="305"/>
      <c r="L130" s="283">
        <f>ROUND(I130/12*($I$84/$M$84)*(1+PctRegNyLøn%),2)</f>
        <v>0</v>
      </c>
      <c r="M130" s="284">
        <f t="shared" si="6"/>
        <v>0</v>
      </c>
      <c r="N130" s="293"/>
      <c r="O130" s="293"/>
      <c r="P130" s="293"/>
      <c r="Q130" s="293"/>
      <c r="S130" s="632"/>
      <c r="T130" s="633"/>
      <c r="U130" s="633"/>
      <c r="V130" s="633"/>
      <c r="W130" s="633"/>
      <c r="X130" s="633"/>
      <c r="Y130" s="633"/>
      <c r="Z130" s="633"/>
      <c r="AA130" s="633"/>
      <c r="AB130" s="633"/>
      <c r="AC130" s="633"/>
      <c r="AD130" s="634"/>
      <c r="AF130" s="334"/>
      <c r="AH130" s="334"/>
      <c r="AI130" s="442"/>
      <c r="AJ130" s="442"/>
      <c r="AK130" s="334"/>
      <c r="AL130" s="334"/>
    </row>
    <row r="131" spans="1:38" ht="6" customHeight="1" x14ac:dyDescent="0.25">
      <c r="A131" s="288"/>
      <c r="B131" s="276"/>
      <c r="K131" s="305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F131" s="334"/>
      <c r="AH131" s="334"/>
      <c r="AI131" s="442"/>
      <c r="AJ131" s="442"/>
      <c r="AK131" s="334"/>
      <c r="AL131" s="334"/>
    </row>
    <row r="132" spans="1:38" ht="12.75" customHeight="1" x14ac:dyDescent="0.25">
      <c r="A132" s="288"/>
      <c r="B132" s="513" t="s">
        <v>403</v>
      </c>
      <c r="C132" s="514"/>
      <c r="D132" s="514"/>
      <c r="E132" s="514"/>
      <c r="F132" s="514"/>
      <c r="G132" s="514"/>
      <c r="H132" s="515"/>
      <c r="I132" s="287"/>
      <c r="J132" s="294"/>
      <c r="K132" s="305"/>
      <c r="L132" s="283">
        <f>ROUND((VLOOKUP(SUM(J92:J132),TabelLøn,+L85,1)-VLOOKUP(SUM(J92:J130),TabelLøn,+L85,1))*BeskGradNyLøn,2)+ROUND(I132/12*($I$84/$M$84)*(1+PctRegNyLøn%),2)</f>
        <v>0</v>
      </c>
      <c r="M132" s="284">
        <f>L132*12</f>
        <v>0</v>
      </c>
      <c r="N132" s="293"/>
      <c r="O132" s="293"/>
      <c r="P132" s="293"/>
      <c r="Q132" s="29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F132" s="334"/>
      <c r="AH132" s="334"/>
      <c r="AI132" s="442"/>
      <c r="AJ132" s="442"/>
      <c r="AK132" s="334"/>
      <c r="AL132" s="334"/>
    </row>
    <row r="133" spans="1:38" ht="12.75" customHeight="1" x14ac:dyDescent="0.25">
      <c r="A133" s="288"/>
      <c r="B133" s="513" t="s">
        <v>404</v>
      </c>
      <c r="C133" s="514"/>
      <c r="D133" s="514"/>
      <c r="E133" s="514"/>
      <c r="F133" s="514"/>
      <c r="G133" s="514"/>
      <c r="H133" s="515"/>
      <c r="I133" s="287"/>
      <c r="J133" s="386"/>
      <c r="K133" s="305"/>
      <c r="L133" s="283">
        <f>ROUND(I133/12*($I$84/$M$84)*(1+PctRegNyLøn%),2)</f>
        <v>0</v>
      </c>
      <c r="M133" s="284">
        <f>L133*12</f>
        <v>0</v>
      </c>
      <c r="N133" s="293"/>
      <c r="O133" s="293"/>
      <c r="P133" s="293"/>
      <c r="Q133" s="29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F133" s="334"/>
      <c r="AH133" s="334"/>
      <c r="AI133" s="442"/>
      <c r="AJ133" s="442"/>
      <c r="AK133" s="334"/>
      <c r="AL133" s="334"/>
    </row>
    <row r="134" spans="1:38" ht="6" customHeight="1" x14ac:dyDescent="0.25">
      <c r="A134" s="288"/>
      <c r="B134" s="516"/>
      <c r="C134" s="517"/>
      <c r="D134" s="517"/>
      <c r="E134" s="517"/>
      <c r="F134" s="517"/>
      <c r="G134" s="517"/>
      <c r="H134" s="517"/>
      <c r="K134" s="305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F134" s="334"/>
      <c r="AH134" s="334"/>
      <c r="AI134" s="442"/>
      <c r="AJ134" s="442"/>
      <c r="AK134" s="334"/>
      <c r="AL134" s="334"/>
    </row>
    <row r="135" spans="1:38" ht="12.75" customHeight="1" x14ac:dyDescent="0.25">
      <c r="A135" s="288"/>
      <c r="B135" s="513" t="s">
        <v>405</v>
      </c>
      <c r="C135" s="514"/>
      <c r="D135" s="514"/>
      <c r="E135" s="514"/>
      <c r="F135" s="514"/>
      <c r="G135" s="514"/>
      <c r="H135" s="515"/>
      <c r="I135" s="287"/>
      <c r="J135" s="387"/>
      <c r="K135" s="305"/>
      <c r="L135" s="283">
        <f>ROUND((VLOOKUP(SUM(J94:J135),TabelLøn,StartkolonneNyLøn,1)-VLOOKUP(SUM(J94:J132),TabelLøn,StartkolonneNyLøn,1))*BeskGradNyLøn,2)+ROUND(I135/12*($I$84/$M$84)*(1+PctRegNyLøn%),2)</f>
        <v>0</v>
      </c>
      <c r="M135" s="284">
        <f>L135*12</f>
        <v>0</v>
      </c>
      <c r="N135" s="293"/>
      <c r="O135" s="293"/>
      <c r="P135" s="293"/>
      <c r="Q135" s="29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F135" s="334"/>
      <c r="AH135" s="334"/>
      <c r="AI135" s="442"/>
      <c r="AJ135" s="442"/>
      <c r="AK135" s="334"/>
      <c r="AL135" s="334"/>
    </row>
    <row r="136" spans="1:38" ht="12.75" customHeight="1" x14ac:dyDescent="0.25">
      <c r="A136" s="288"/>
      <c r="B136" s="276"/>
      <c r="K136" s="305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F136" s="334"/>
      <c r="AH136" s="334"/>
      <c r="AI136" s="442"/>
      <c r="AJ136" s="442"/>
      <c r="AK136" s="334"/>
      <c r="AL136" s="334"/>
    </row>
    <row r="137" spans="1:38" ht="12.75" customHeight="1" x14ac:dyDescent="0.25">
      <c r="A137" s="288"/>
      <c r="B137" s="285" t="s">
        <v>410</v>
      </c>
      <c r="C137" s="291"/>
      <c r="D137" s="291"/>
      <c r="E137" s="291"/>
      <c r="F137" s="291"/>
      <c r="G137" s="291"/>
      <c r="H137" s="292"/>
      <c r="I137" s="328">
        <f>SUM(I92:I135)</f>
        <v>0</v>
      </c>
      <c r="J137" s="329">
        <f>SUM(J92:J135)</f>
        <v>0</v>
      </c>
      <c r="K137" s="305"/>
      <c r="L137" s="312">
        <f>SUM(L92:L135)</f>
        <v>0</v>
      </c>
      <c r="M137" s="284">
        <f>SUM(M92:M135)</f>
        <v>0</v>
      </c>
      <c r="N137" s="293"/>
      <c r="O137" s="293"/>
      <c r="P137" s="293"/>
      <c r="Q137" s="293"/>
      <c r="U137" s="290"/>
      <c r="V137" s="290"/>
      <c r="AF137" s="334"/>
      <c r="AH137" s="334"/>
      <c r="AI137" s="442"/>
      <c r="AJ137" s="442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290"/>
      <c r="V138" s="290"/>
      <c r="W138" s="303"/>
      <c r="X138" s="303"/>
      <c r="Y138" s="303"/>
      <c r="Z138" s="303"/>
      <c r="AA138" s="303"/>
      <c r="AB138" s="303"/>
      <c r="AC138" s="303"/>
      <c r="AD138" s="303"/>
      <c r="AF138" s="334"/>
      <c r="AH138" s="334"/>
      <c r="AI138" s="442"/>
      <c r="AJ138" s="442"/>
      <c r="AK138" s="334"/>
      <c r="AL138" s="334"/>
    </row>
    <row r="139" spans="1:38" ht="12.75" customHeight="1" x14ac:dyDescent="0.25">
      <c r="A139" s="288"/>
      <c r="B139" s="290" t="s">
        <v>411</v>
      </c>
      <c r="C139" s="290" t="s">
        <v>22</v>
      </c>
      <c r="D139" s="276"/>
      <c r="E139" s="276"/>
      <c r="F139" s="276"/>
      <c r="G139" s="276"/>
      <c r="H139" s="276"/>
      <c r="I139" s="310"/>
      <c r="K139" s="305"/>
      <c r="L139" s="283">
        <f>ROUND(VLOOKUP(J137,TabelLønninger,+M85,2)*I86/100/12*BeskGradNyLøn,2)+(I86/100*(+L93+L98+L104+L105+L106+L107+L117+L118+L119+L127+L128+L129+L130+L132+L135))</f>
        <v>0</v>
      </c>
      <c r="M139" s="284">
        <f>L139*12</f>
        <v>0</v>
      </c>
      <c r="N139" s="293"/>
      <c r="O139" s="293"/>
      <c r="P139" s="293"/>
      <c r="Q139" s="293"/>
      <c r="U139" s="290"/>
      <c r="V139" s="290"/>
      <c r="AF139" s="334"/>
      <c r="AH139" s="334"/>
      <c r="AI139" s="442"/>
      <c r="AJ139" s="442"/>
      <c r="AK139" s="334"/>
      <c r="AL139" s="334"/>
    </row>
    <row r="140" spans="1:38" ht="12.75" customHeight="1" x14ac:dyDescent="0.25">
      <c r="A140" s="288"/>
      <c r="B140" s="285" t="s">
        <v>406</v>
      </c>
      <c r="C140" s="290"/>
      <c r="D140" s="291"/>
      <c r="E140" s="291"/>
      <c r="F140" s="291"/>
      <c r="G140" s="291"/>
      <c r="H140" s="291"/>
      <c r="I140" s="310"/>
      <c r="J140" s="330"/>
      <c r="K140" s="305"/>
      <c r="L140" s="312">
        <f>SUM(L137:L139)</f>
        <v>0</v>
      </c>
      <c r="M140" s="313">
        <f>SUM(M137:M139)</f>
        <v>0</v>
      </c>
      <c r="N140" s="331"/>
      <c r="O140" s="331"/>
      <c r="P140" s="331"/>
      <c r="Q140" s="331"/>
      <c r="U140" s="293"/>
      <c r="V140" s="293"/>
      <c r="AF140" s="334"/>
      <c r="AH140" s="334"/>
      <c r="AI140" s="442"/>
      <c r="AJ140" s="442"/>
      <c r="AK140" s="334"/>
      <c r="AL140" s="334"/>
    </row>
    <row r="141" spans="1:38" ht="12.75" customHeight="1" x14ac:dyDescent="0.25">
      <c r="A141" s="288"/>
      <c r="B141" s="285"/>
      <c r="C141" s="290"/>
      <c r="D141" s="291"/>
      <c r="E141" s="291"/>
      <c r="F141" s="291"/>
      <c r="G141" s="291"/>
      <c r="H141" s="291"/>
      <c r="I141" s="310"/>
      <c r="J141" s="330"/>
      <c r="K141" s="305"/>
      <c r="L141" s="331"/>
      <c r="M141" s="331"/>
      <c r="N141" s="331"/>
      <c r="O141" s="331"/>
      <c r="P141" s="331"/>
      <c r="Q141" s="331"/>
      <c r="U141" s="293"/>
      <c r="V141" s="293"/>
      <c r="AF141" s="334"/>
      <c r="AH141" s="334"/>
      <c r="AI141" s="442"/>
      <c r="AJ141" s="442"/>
      <c r="AK141" s="334"/>
      <c r="AL141" s="334"/>
    </row>
    <row r="142" spans="1:38" ht="12" customHeight="1" x14ac:dyDescent="0.25">
      <c r="A142" s="288"/>
      <c r="AF142" s="334"/>
      <c r="AH142" s="334"/>
      <c r="AI142" s="442"/>
      <c r="AJ142" s="442"/>
      <c r="AK142" s="334"/>
      <c r="AL142" s="334"/>
    </row>
    <row r="143" spans="1:38" ht="12" customHeight="1" x14ac:dyDescent="0.25">
      <c r="A143" s="361"/>
      <c r="B143" s="344"/>
      <c r="C143" s="641" t="s">
        <v>725</v>
      </c>
      <c r="D143" s="641"/>
      <c r="E143" s="641"/>
      <c r="F143" s="641"/>
      <c r="G143" s="641"/>
      <c r="H143" s="641"/>
      <c r="I143" s="641"/>
      <c r="J143" s="641"/>
      <c r="K143" s="641"/>
      <c r="L143" s="641"/>
      <c r="M143" s="641"/>
      <c r="N143" s="641"/>
      <c r="O143" s="641"/>
      <c r="P143" s="641"/>
      <c r="Q143" s="641"/>
      <c r="R143" s="641"/>
      <c r="S143" s="641"/>
      <c r="T143" s="641"/>
      <c r="U143" s="641"/>
      <c r="V143" s="641"/>
      <c r="W143" s="641"/>
      <c r="X143" s="641"/>
      <c r="Y143" s="641"/>
      <c r="Z143" s="641"/>
      <c r="AA143" s="641"/>
      <c r="AB143" s="641"/>
      <c r="AC143" s="641"/>
      <c r="AD143" s="344"/>
      <c r="AE143" s="345"/>
      <c r="AF143" s="334"/>
      <c r="AH143" s="334"/>
      <c r="AI143" s="442"/>
      <c r="AJ143" s="442"/>
      <c r="AK143" s="334"/>
      <c r="AL143" s="334"/>
    </row>
    <row r="144" spans="1:38" ht="12" customHeight="1" x14ac:dyDescent="0.25">
      <c r="A144" s="362"/>
      <c r="C144" s="642"/>
      <c r="D144" s="642"/>
      <c r="E144" s="642"/>
      <c r="F144" s="642"/>
      <c r="G144" s="642"/>
      <c r="H144" s="642"/>
      <c r="I144" s="642"/>
      <c r="J144" s="642"/>
      <c r="K144" s="642"/>
      <c r="L144" s="642"/>
      <c r="M144" s="642"/>
      <c r="N144" s="642"/>
      <c r="O144" s="642"/>
      <c r="P144" s="642"/>
      <c r="Q144" s="642"/>
      <c r="R144" s="642"/>
      <c r="S144" s="642"/>
      <c r="T144" s="642"/>
      <c r="U144" s="642"/>
      <c r="V144" s="642"/>
      <c r="W144" s="642"/>
      <c r="X144" s="642"/>
      <c r="Y144" s="642"/>
      <c r="Z144" s="642"/>
      <c r="AA144" s="642"/>
      <c r="AB144" s="642"/>
      <c r="AC144" s="642"/>
      <c r="AE144" s="350"/>
      <c r="AF144" s="334"/>
      <c r="AH144" s="334"/>
      <c r="AI144" s="442"/>
      <c r="AJ144" s="442"/>
      <c r="AK144" s="334"/>
      <c r="AL144" s="334"/>
    </row>
    <row r="145" spans="1:38" ht="12" customHeight="1" x14ac:dyDescent="0.25">
      <c r="A145" s="362"/>
      <c r="AE145" s="350"/>
      <c r="AF145" s="334"/>
      <c r="AH145" s="334"/>
      <c r="AI145" s="442"/>
      <c r="AJ145" s="442"/>
      <c r="AK145" s="334"/>
      <c r="AL145" s="334"/>
    </row>
    <row r="146" spans="1:38" ht="12.75" customHeight="1" x14ac:dyDescent="0.25">
      <c r="A146" s="346"/>
      <c r="C146" s="369" t="s">
        <v>425</v>
      </c>
      <c r="L146" s="373">
        <f>+L57-L137</f>
        <v>0</v>
      </c>
      <c r="M146" s="369" t="s">
        <v>428</v>
      </c>
      <c r="N146" s="369"/>
      <c r="O146" s="369"/>
      <c r="P146" s="369"/>
      <c r="Q146" s="369"/>
      <c r="R146" s="369"/>
      <c r="S146" s="371"/>
      <c r="T146" s="371"/>
      <c r="U146" s="371"/>
      <c r="V146" s="638">
        <f>+L146*12</f>
        <v>0</v>
      </c>
      <c r="W146" s="638"/>
      <c r="X146" s="638"/>
      <c r="Y146" s="638"/>
      <c r="Z146" s="371"/>
      <c r="AA146" s="371" t="s">
        <v>429</v>
      </c>
      <c r="AB146" s="371"/>
      <c r="AC146" s="371"/>
      <c r="AE146" s="350"/>
      <c r="AF146" s="334"/>
      <c r="AH146" s="334"/>
      <c r="AI146" s="442"/>
      <c r="AJ146" s="442"/>
      <c r="AK146" s="334"/>
      <c r="AL146" s="334"/>
    </row>
    <row r="147" spans="1:38" ht="6.75" customHeight="1" x14ac:dyDescent="0.25">
      <c r="A147" s="346"/>
      <c r="C147" s="369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2"/>
      <c r="W147" s="372"/>
      <c r="X147" s="372"/>
      <c r="Y147" s="372"/>
      <c r="Z147" s="371"/>
      <c r="AA147" s="371"/>
      <c r="AB147" s="371"/>
      <c r="AC147" s="371"/>
      <c r="AE147" s="350"/>
      <c r="AF147" s="334"/>
      <c r="AH147" s="334"/>
      <c r="AI147" s="442"/>
      <c r="AJ147" s="442"/>
      <c r="AK147" s="334"/>
      <c r="AL147" s="334"/>
    </row>
    <row r="148" spans="1:38" s="320" customFormat="1" ht="12.75" customHeight="1" x14ac:dyDescent="0.25">
      <c r="A148" s="363"/>
      <c r="B148" s="277"/>
      <c r="C148" s="369" t="s">
        <v>426</v>
      </c>
      <c r="D148" s="277"/>
      <c r="E148" s="277"/>
      <c r="F148" s="277"/>
      <c r="G148" s="277"/>
      <c r="H148" s="277"/>
      <c r="I148" s="277"/>
      <c r="J148" s="300"/>
      <c r="K148" s="300"/>
      <c r="L148" s="370">
        <f>+L59-L139</f>
        <v>0</v>
      </c>
      <c r="M148" s="371" t="s">
        <v>428</v>
      </c>
      <c r="N148" s="371"/>
      <c r="O148" s="371"/>
      <c r="P148" s="371"/>
      <c r="Q148" s="371"/>
      <c r="R148" s="371"/>
      <c r="S148" s="371"/>
      <c r="T148" s="371"/>
      <c r="U148" s="371"/>
      <c r="V148" s="638">
        <f>+L148*12</f>
        <v>0</v>
      </c>
      <c r="W148" s="638"/>
      <c r="X148" s="638"/>
      <c r="Y148" s="638"/>
      <c r="Z148" s="371"/>
      <c r="AA148" s="371" t="s">
        <v>429</v>
      </c>
      <c r="AB148" s="371"/>
      <c r="AC148" s="371"/>
      <c r="AD148" s="277"/>
      <c r="AE148" s="364"/>
      <c r="AF148" s="336"/>
      <c r="AG148" s="428"/>
      <c r="AH148" s="336"/>
      <c r="AI148" s="444"/>
      <c r="AJ148" s="444"/>
      <c r="AK148" s="336"/>
      <c r="AL148" s="336"/>
    </row>
    <row r="149" spans="1:38" ht="21" customHeight="1" x14ac:dyDescent="0.25">
      <c r="A149" s="346"/>
      <c r="C149" s="369" t="s">
        <v>427</v>
      </c>
      <c r="L149" s="370">
        <f>+L60-L140</f>
        <v>0</v>
      </c>
      <c r="M149" s="371" t="s">
        <v>428</v>
      </c>
      <c r="N149" s="371"/>
      <c r="O149" s="371"/>
      <c r="P149" s="371"/>
      <c r="Q149" s="371"/>
      <c r="R149" s="371"/>
      <c r="S149" s="371"/>
      <c r="T149" s="371"/>
      <c r="U149" s="371"/>
      <c r="V149" s="639">
        <f>+L149*12</f>
        <v>0</v>
      </c>
      <c r="W149" s="639"/>
      <c r="X149" s="639"/>
      <c r="Y149" s="639"/>
      <c r="Z149" s="369"/>
      <c r="AA149" s="369" t="s">
        <v>429</v>
      </c>
      <c r="AB149" s="369"/>
      <c r="AC149" s="369"/>
      <c r="AE149" s="350"/>
      <c r="AF149" s="334"/>
      <c r="AH149" s="334"/>
      <c r="AI149" s="442"/>
      <c r="AJ149" s="442"/>
      <c r="AK149" s="334"/>
      <c r="AL149" s="334"/>
    </row>
    <row r="150" spans="1:38" ht="17.25" customHeight="1" x14ac:dyDescent="0.25">
      <c r="A150" s="365"/>
      <c r="B150" s="366"/>
      <c r="C150" s="366"/>
      <c r="D150" s="366"/>
      <c r="E150" s="366"/>
      <c r="F150" s="366"/>
      <c r="G150" s="366"/>
      <c r="H150" s="366"/>
      <c r="I150" s="366"/>
      <c r="J150" s="367"/>
      <c r="K150" s="367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  <c r="AA150" s="366"/>
      <c r="AB150" s="366"/>
      <c r="AC150" s="366"/>
      <c r="AD150" s="366"/>
      <c r="AE150" s="368"/>
      <c r="AF150" s="334"/>
      <c r="AH150" s="334"/>
      <c r="AI150" s="442"/>
      <c r="AJ150" s="442"/>
      <c r="AK150" s="334"/>
      <c r="AL150" s="334"/>
    </row>
  </sheetData>
  <sheetProtection algorithmName="SHA-512" hashValue="yl+2+KdrU/hGZ49tLW9fijqRlZ2sy7qyvQThJ2h8+uFVTjXxmMLPN72lIXSpM8tEeeR8VOFUU3N6pT/dRJIfQg==" saltValue="ho3XxNuk5Cz05C0wlLjQhw==" spinCount="100000" sheet="1" objects="1" scenarios="1"/>
  <customSheetViews>
    <customSheetView guid="{40555330-83BF-42FA-97D0-8A355A41C0A0}" scale="140" showPageBreaks="1" printArea="1" hiddenColumns="1" view="pageBreakPreview" topLeftCell="A43">
      <selection activeCell="I8" sqref="I8:M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08">
    <mergeCell ref="V149:Y149"/>
    <mergeCell ref="S106:AD106"/>
    <mergeCell ref="S107:AD107"/>
    <mergeCell ref="S101:AD101"/>
    <mergeCell ref="S103:AD103"/>
    <mergeCell ref="V148:Y148"/>
    <mergeCell ref="V146:Y146"/>
    <mergeCell ref="S126:AD126"/>
    <mergeCell ref="S116:AD116"/>
    <mergeCell ref="S123:AD123"/>
    <mergeCell ref="S122:AD122"/>
    <mergeCell ref="C143:AC144"/>
    <mergeCell ref="S102:AD102"/>
    <mergeCell ref="S129:AD129"/>
    <mergeCell ref="S115:AD115"/>
    <mergeCell ref="S117:AD117"/>
    <mergeCell ref="S118:AD118"/>
    <mergeCell ref="S128:AD128"/>
    <mergeCell ref="S127:AD127"/>
    <mergeCell ref="S130:AD130"/>
    <mergeCell ref="S104:AD104"/>
    <mergeCell ref="S110:AD110"/>
    <mergeCell ref="S109:AD109"/>
    <mergeCell ref="S121:AD121"/>
    <mergeCell ref="AG61:AJ62"/>
    <mergeCell ref="S48:AD48"/>
    <mergeCell ref="S119:AD119"/>
    <mergeCell ref="S105:AD105"/>
    <mergeCell ref="K86:L86"/>
    <mergeCell ref="I83:M83"/>
    <mergeCell ref="R94:AE95"/>
    <mergeCell ref="Y88:AC88"/>
    <mergeCell ref="S80:AD81"/>
    <mergeCell ref="W86:AD86"/>
    <mergeCell ref="S97:AD97"/>
    <mergeCell ref="R111:AE112"/>
    <mergeCell ref="S114:AD114"/>
    <mergeCell ref="S98:AD98"/>
    <mergeCell ref="T89:AC93"/>
    <mergeCell ref="S49:AD49"/>
    <mergeCell ref="S52:AD52"/>
    <mergeCell ref="S53:AD53"/>
    <mergeCell ref="S54:AD54"/>
    <mergeCell ref="S55:AD55"/>
    <mergeCell ref="B62:AD65"/>
    <mergeCell ref="A82:M82"/>
    <mergeCell ref="S100:AD100"/>
    <mergeCell ref="D68:L69"/>
    <mergeCell ref="AI10:AJ12"/>
    <mergeCell ref="T18:AC22"/>
    <mergeCell ref="V9:AC9"/>
    <mergeCell ref="S31:AD31"/>
    <mergeCell ref="S32:AD32"/>
    <mergeCell ref="S33:AD33"/>
    <mergeCell ref="AI57:AJ58"/>
    <mergeCell ref="S42:AD42"/>
    <mergeCell ref="S35:AD35"/>
    <mergeCell ref="Y15:AC15"/>
    <mergeCell ref="V15:W15"/>
    <mergeCell ref="S43:AD43"/>
    <mergeCell ref="S44:AD44"/>
    <mergeCell ref="S37:AD37"/>
    <mergeCell ref="S38:AD38"/>
    <mergeCell ref="AI4:AJ9"/>
    <mergeCell ref="S29:AD29"/>
    <mergeCell ref="S30:AD30"/>
    <mergeCell ref="AG4:AG5"/>
    <mergeCell ref="AG10:AG11"/>
    <mergeCell ref="S23:AD24"/>
    <mergeCell ref="S47:AD47"/>
    <mergeCell ref="S45:AD45"/>
    <mergeCell ref="S34:AD34"/>
    <mergeCell ref="B2:M2"/>
    <mergeCell ref="Y17:AC17"/>
    <mergeCell ref="I9:M9"/>
    <mergeCell ref="S1:AD2"/>
    <mergeCell ref="A3:M3"/>
    <mergeCell ref="I4:M4"/>
    <mergeCell ref="C11:H12"/>
    <mergeCell ref="I11:M12"/>
    <mergeCell ref="T11:T12"/>
    <mergeCell ref="V12:AC13"/>
    <mergeCell ref="K15:L15"/>
    <mergeCell ref="Y4:AC4"/>
    <mergeCell ref="I13:L13"/>
    <mergeCell ref="V10:AC11"/>
    <mergeCell ref="O13:O25"/>
    <mergeCell ref="I5:M5"/>
    <mergeCell ref="V14:AC14"/>
    <mergeCell ref="C8:H8"/>
    <mergeCell ref="I6:M6"/>
    <mergeCell ref="I7:M7"/>
    <mergeCell ref="I8:M8"/>
    <mergeCell ref="M68:AE69"/>
    <mergeCell ref="N70:AE70"/>
    <mergeCell ref="C72:J72"/>
    <mergeCell ref="M72:X72"/>
    <mergeCell ref="C73:L73"/>
    <mergeCell ref="C74:J74"/>
    <mergeCell ref="M74:X74"/>
    <mergeCell ref="N26:R26"/>
    <mergeCell ref="S26:AD26"/>
    <mergeCell ref="S27:AD27"/>
    <mergeCell ref="S39:AD40"/>
    <mergeCell ref="E70:L70"/>
    <mergeCell ref="D71:L71"/>
    <mergeCell ref="M71:AE71"/>
    <mergeCell ref="M73:AE73"/>
  </mergeCells>
  <conditionalFormatting sqref="B57 C59:C61 B59:B62 B132:H133 B135:H135 B137 B139:C141">
    <cfRule type="cellIs" dxfId="1" priority="20" stopIfTrue="1" operator="equal">
      <formula>"Fejl! Udfyld ENTEN kr.beløb ELLER Trin"</formula>
    </cfRule>
  </conditionalFormatting>
  <conditionalFormatting sqref="B14:I14 B85:I85">
    <cfRule type="cellIs" dxfId="0" priority="21" stopIfTrue="1" operator="notEqual">
      <formula>"Lønkode"</formula>
    </cfRule>
  </conditionalFormatting>
  <pageMargins left="0.19685039370078741" right="0.19685039370078741" top="0.31496062992125984" bottom="0.31496062992125984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L52"/>
  <sheetViews>
    <sheetView workbookViewId="0">
      <selection activeCell="A22" sqref="A22"/>
    </sheetView>
  </sheetViews>
  <sheetFormatPr defaultColWidth="9.33203125" defaultRowHeight="12.75" x14ac:dyDescent="0.2"/>
  <cols>
    <col min="1" max="1" width="39.1640625" style="488" customWidth="1"/>
    <col min="2" max="3" width="17.5" style="488" customWidth="1"/>
    <col min="4" max="9" width="9.33203125" style="488"/>
    <col min="10" max="10" width="0.33203125" style="488" customWidth="1"/>
    <col min="11" max="11" width="18.83203125" style="488" customWidth="1"/>
    <col min="12" max="12" width="9.33203125" style="488" customWidth="1"/>
    <col min="13" max="16384" width="9.33203125" style="488"/>
  </cols>
  <sheetData>
    <row r="1" spans="1:12" x14ac:dyDescent="0.2">
      <c r="A1" s="487" t="s">
        <v>291</v>
      </c>
    </row>
    <row r="3" spans="1:12" x14ac:dyDescent="0.2">
      <c r="A3" s="488" t="s">
        <v>292</v>
      </c>
    </row>
    <row r="4" spans="1:12" x14ac:dyDescent="0.2">
      <c r="A4" s="488" t="s">
        <v>293</v>
      </c>
    </row>
    <row r="5" spans="1:12" x14ac:dyDescent="0.2">
      <c r="A5" s="488" t="s">
        <v>295</v>
      </c>
    </row>
    <row r="7" spans="1:12" x14ac:dyDescent="0.2">
      <c r="A7" s="489" t="str">
        <f>"Det årlige beløb i "&amp;Dato4&amp;" niveau skal tilbageføres til grundsatsniveau."</f>
        <v>Det årlige beløb i 1/4-2026 niveau skal tilbageføres til grundsatsniveau.</v>
      </c>
    </row>
    <row r="9" spans="1:12" x14ac:dyDescent="0.2">
      <c r="A9" s="488" t="s">
        <v>214</v>
      </c>
    </row>
    <row r="10" spans="1:12" x14ac:dyDescent="0.2">
      <c r="A10" s="490"/>
      <c r="B10" s="491" t="s">
        <v>216</v>
      </c>
      <c r="C10" s="491" t="s">
        <v>217</v>
      </c>
    </row>
    <row r="11" spans="1:12" x14ac:dyDescent="0.2">
      <c r="A11" s="490" t="s">
        <v>101</v>
      </c>
      <c r="B11" s="491">
        <v>0</v>
      </c>
      <c r="C11" s="492"/>
      <c r="D11" s="493" t="s">
        <v>381</v>
      </c>
      <c r="K11" s="488" t="s">
        <v>272</v>
      </c>
      <c r="L11" s="488">
        <f>VLOOKUP(LønkodeTillæg,TabelPctReg,2)</f>
        <v>65.337800000000001</v>
      </c>
    </row>
    <row r="12" spans="1:12" x14ac:dyDescent="0.2">
      <c r="A12" s="494"/>
      <c r="B12" s="491"/>
      <c r="C12" s="491"/>
      <c r="D12" s="493" t="s">
        <v>382</v>
      </c>
    </row>
    <row r="13" spans="1:12" x14ac:dyDescent="0.2">
      <c r="A13" s="495" t="str">
        <f>"Årligt tillæg i "&amp;Dato4&amp;" niveau"</f>
        <v>Årligt tillæg i 1/4-2026 niveau</v>
      </c>
      <c r="B13" s="496">
        <v>20000</v>
      </c>
      <c r="C13" s="497"/>
    </row>
    <row r="14" spans="1:12" x14ac:dyDescent="0.2">
      <c r="A14" s="490" t="s">
        <v>290</v>
      </c>
      <c r="B14" s="491" t="str">
        <f>TEXT((100+procentregulering)/100,"#,000000")</f>
        <v>1,653378</v>
      </c>
      <c r="C14" s="498" t="str">
        <f>TEXT((100+PctregTillæg)/100,"#,000000")</f>
        <v>1,653378</v>
      </c>
    </row>
    <row r="15" spans="1:12" x14ac:dyDescent="0.2">
      <c r="A15" s="490" t="s">
        <v>294</v>
      </c>
      <c r="B15" s="496">
        <f>B13/(1+procentregulering%)</f>
        <v>12096.447394364748</v>
      </c>
      <c r="C15" s="496">
        <f>C13/(1+PctregTillæg%)</f>
        <v>0</v>
      </c>
    </row>
    <row r="16" spans="1:12" x14ac:dyDescent="0.2">
      <c r="A16" s="490" t="s">
        <v>215</v>
      </c>
      <c r="B16" s="496">
        <f>ROUND(B15,0)</f>
        <v>12096</v>
      </c>
      <c r="C16" s="496">
        <f>ROUND(C15,0)</f>
        <v>0</v>
      </c>
    </row>
    <row r="19" spans="1:5" x14ac:dyDescent="0.2">
      <c r="A19" s="487" t="s">
        <v>219</v>
      </c>
      <c r="B19" s="499" t="s">
        <v>288</v>
      </c>
      <c r="C19" s="499" t="s">
        <v>289</v>
      </c>
    </row>
    <row r="20" spans="1:5" x14ac:dyDescent="0.2">
      <c r="A20" s="487"/>
      <c r="B20" s="499"/>
      <c r="C20" s="499"/>
    </row>
    <row r="21" spans="1:5" x14ac:dyDescent="0.2">
      <c r="A21" s="487"/>
      <c r="B21" s="499"/>
      <c r="C21" s="499"/>
    </row>
    <row r="22" spans="1:5" ht="14.25" x14ac:dyDescent="0.2">
      <c r="A22" s="500" t="s">
        <v>770</v>
      </c>
      <c r="B22" s="475">
        <v>34.686</v>
      </c>
      <c r="C22" s="478">
        <v>18.1313</v>
      </c>
    </row>
    <row r="23" spans="1:5" x14ac:dyDescent="0.2">
      <c r="A23" s="500" t="s">
        <v>751</v>
      </c>
      <c r="B23" s="501">
        <v>0.31779800000000002</v>
      </c>
      <c r="C23" s="501">
        <v>0.15582499999999999</v>
      </c>
      <c r="E23" s="488" t="s">
        <v>754</v>
      </c>
    </row>
    <row r="24" spans="1:5" x14ac:dyDescent="0.2">
      <c r="A24" s="500" t="s">
        <v>750</v>
      </c>
      <c r="B24" s="501">
        <v>0.31133300000000003</v>
      </c>
      <c r="C24" s="501">
        <v>0.15015500000000001</v>
      </c>
      <c r="E24" s="488" t="s">
        <v>752</v>
      </c>
    </row>
    <row r="25" spans="1:5" x14ac:dyDescent="0.2">
      <c r="A25" s="500" t="s">
        <v>749</v>
      </c>
      <c r="B25" s="501">
        <v>0.305367</v>
      </c>
      <c r="C25" s="501">
        <v>0.144922</v>
      </c>
      <c r="E25" s="488" t="s">
        <v>753</v>
      </c>
    </row>
    <row r="26" spans="1:5" x14ac:dyDescent="0.2">
      <c r="A26" s="500" t="s">
        <v>727</v>
      </c>
      <c r="B26" s="501">
        <v>0.29295500000000002</v>
      </c>
      <c r="C26" s="501">
        <v>0.13403499999999999</v>
      </c>
    </row>
    <row r="27" spans="1:5" x14ac:dyDescent="0.2">
      <c r="A27" s="500" t="s">
        <v>684</v>
      </c>
      <c r="B27" s="501">
        <v>0.28489999999999999</v>
      </c>
      <c r="C27" s="501">
        <v>0.12697</v>
      </c>
    </row>
    <row r="28" spans="1:5" s="487" customFormat="1" x14ac:dyDescent="0.2">
      <c r="A28" s="500" t="s">
        <v>412</v>
      </c>
      <c r="B28" s="501">
        <v>0.27854600000000002</v>
      </c>
      <c r="C28" s="501">
        <v>0.121397</v>
      </c>
    </row>
    <row r="29" spans="1:5" x14ac:dyDescent="0.2">
      <c r="A29" s="500" t="s">
        <v>379</v>
      </c>
      <c r="B29" s="501">
        <v>0.27708899999999997</v>
      </c>
      <c r="C29" s="501">
        <v>0.120119</v>
      </c>
    </row>
    <row r="30" spans="1:5" x14ac:dyDescent="0.2">
      <c r="A30" s="500" t="s">
        <v>380</v>
      </c>
      <c r="B30" s="501">
        <v>0.270735</v>
      </c>
      <c r="C30" s="501">
        <v>0.114546</v>
      </c>
    </row>
    <row r="31" spans="1:5" x14ac:dyDescent="0.2">
      <c r="A31" s="500" t="s">
        <v>355</v>
      </c>
      <c r="B31" s="501">
        <v>0.26890399999999998</v>
      </c>
      <c r="C31" s="501">
        <v>0.11294</v>
      </c>
    </row>
    <row r="32" spans="1:5" x14ac:dyDescent="0.2">
      <c r="A32" s="502">
        <v>40269</v>
      </c>
      <c r="B32" s="501">
        <v>0.24881200000000001</v>
      </c>
      <c r="C32" s="501">
        <v>9.5316999999999999E-2</v>
      </c>
    </row>
    <row r="33" spans="1:3" x14ac:dyDescent="0.2">
      <c r="A33" s="503">
        <v>40087</v>
      </c>
      <c r="B33" s="501">
        <v>0.24699499999999999</v>
      </c>
      <c r="C33" s="501">
        <v>9.3723000000000001E-2</v>
      </c>
    </row>
    <row r="34" spans="1:3" x14ac:dyDescent="0.2">
      <c r="A34" s="503">
        <v>39904</v>
      </c>
      <c r="B34" s="501">
        <v>0.23311399999999999</v>
      </c>
      <c r="C34" s="501">
        <v>8.1547999999999995E-2</v>
      </c>
    </row>
    <row r="35" spans="1:3" x14ac:dyDescent="0.2">
      <c r="A35" s="503">
        <v>39722</v>
      </c>
      <c r="B35" s="504">
        <v>0.23078299999999999</v>
      </c>
      <c r="C35" s="504">
        <v>7.9504000000000005E-2</v>
      </c>
    </row>
    <row r="36" spans="1:3" x14ac:dyDescent="0.2">
      <c r="A36" s="503">
        <v>39539</v>
      </c>
      <c r="B36" s="504">
        <v>0.212953</v>
      </c>
      <c r="C36" s="504">
        <v>6.3865000000000005E-2</v>
      </c>
    </row>
    <row r="37" spans="1:3" x14ac:dyDescent="0.2">
      <c r="A37" s="505">
        <v>39356</v>
      </c>
      <c r="B37" s="504">
        <v>0.165293</v>
      </c>
      <c r="C37" s="504">
        <v>2.2062999999999999E-2</v>
      </c>
    </row>
    <row r="38" spans="1:3" x14ac:dyDescent="0.2">
      <c r="A38" s="505">
        <v>39173</v>
      </c>
      <c r="B38" s="504">
        <v>0.16053500000000001</v>
      </c>
      <c r="C38" s="504">
        <v>1.789E-2</v>
      </c>
    </row>
    <row r="39" spans="1:3" x14ac:dyDescent="0.2">
      <c r="A39" s="505">
        <v>38991</v>
      </c>
      <c r="B39" s="504">
        <v>0.15153900000000001</v>
      </c>
      <c r="C39" s="504">
        <v>0.01</v>
      </c>
    </row>
    <row r="40" spans="1:3" x14ac:dyDescent="0.2">
      <c r="A40" s="505">
        <v>38718</v>
      </c>
      <c r="B40" s="504">
        <v>0.14013800000000001</v>
      </c>
      <c r="C40" s="504">
        <v>0</v>
      </c>
    </row>
    <row r="41" spans="1:3" x14ac:dyDescent="0.2">
      <c r="A41" s="505">
        <v>38443</v>
      </c>
      <c r="B41" s="504">
        <v>0.124454</v>
      </c>
    </row>
    <row r="42" spans="1:3" x14ac:dyDescent="0.2">
      <c r="A42" s="505">
        <v>38261</v>
      </c>
      <c r="B42" s="504">
        <v>0.124454</v>
      </c>
    </row>
    <row r="43" spans="1:3" x14ac:dyDescent="0.2">
      <c r="A43" s="505">
        <v>38200</v>
      </c>
      <c r="B43" s="504">
        <v>0.12003800000000001</v>
      </c>
    </row>
    <row r="44" spans="1:3" x14ac:dyDescent="0.2">
      <c r="A44" s="505">
        <v>38078</v>
      </c>
      <c r="B44" s="504">
        <v>0.109523</v>
      </c>
    </row>
    <row r="45" spans="1:3" x14ac:dyDescent="0.2">
      <c r="A45" s="505">
        <v>37895</v>
      </c>
      <c r="B45" s="504">
        <v>9.2674999999999993E-2</v>
      </c>
    </row>
    <row r="46" spans="1:3" x14ac:dyDescent="0.2">
      <c r="A46" s="505">
        <v>37834</v>
      </c>
      <c r="B46" s="504">
        <v>8.8679999999999995E-2</v>
      </c>
    </row>
    <row r="47" spans="1:3" x14ac:dyDescent="0.2">
      <c r="A47" s="505">
        <v>37712</v>
      </c>
      <c r="B47" s="504">
        <v>8.3421999999999996E-2</v>
      </c>
    </row>
    <row r="48" spans="1:3" x14ac:dyDescent="0.2">
      <c r="A48" s="505">
        <v>37347</v>
      </c>
      <c r="B48" s="504">
        <v>6.1566000000000003E-2</v>
      </c>
    </row>
    <row r="49" spans="1:2" x14ac:dyDescent="0.2">
      <c r="A49" s="505">
        <v>37165</v>
      </c>
      <c r="B49" s="504">
        <v>5.1157000000000001E-2</v>
      </c>
    </row>
    <row r="50" spans="1:2" x14ac:dyDescent="0.2">
      <c r="A50" s="505">
        <v>36982</v>
      </c>
      <c r="B50" s="504">
        <v>4.0661999999999997E-2</v>
      </c>
    </row>
    <row r="51" spans="1:2" x14ac:dyDescent="0.2">
      <c r="A51" s="505">
        <v>36617</v>
      </c>
      <c r="B51" s="504">
        <v>1.8558999999999999E-2</v>
      </c>
    </row>
    <row r="52" spans="1:2" x14ac:dyDescent="0.2">
      <c r="A52" s="505">
        <v>36616</v>
      </c>
      <c r="B52" s="504">
        <v>0</v>
      </c>
    </row>
  </sheetData>
  <customSheetViews>
    <customSheetView guid="{40555330-83BF-42FA-97D0-8A355A41C0A0}" hiddenColumns="1" topLeftCell="A13">
      <selection activeCell="C10" sqref="C10"/>
      <pageMargins left="0.31496062992125984" right="0.31496062992125984" top="0.39370078740157483" bottom="0.39370078740157483" header="0" footer="0"/>
      <pageSetup paperSize="9" orientation="portrait" blackAndWhite="1" r:id="rId1"/>
      <headerFooter alignWithMargins="0"/>
    </customSheetView>
  </customSheetViews>
  <phoneticPr fontId="0" type="noConversion"/>
  <pageMargins left="0.31496062992125984" right="0.31496062992125984" top="0.39370078740157483" bottom="0.39370078740157483" header="0" footer="0"/>
  <pageSetup paperSize="9" orientation="portrait" blackAndWhite="1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00B0F0"/>
  </sheetPr>
  <dimension ref="A1:AB348"/>
  <sheetViews>
    <sheetView zoomScale="115" zoomScaleNormal="115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G17" sqref="G17"/>
    </sheetView>
  </sheetViews>
  <sheetFormatPr defaultColWidth="9.33203125" defaultRowHeight="11.25" x14ac:dyDescent="0.2"/>
  <cols>
    <col min="1" max="1" width="8" style="275" customWidth="1"/>
    <col min="2" max="2" width="12.33203125" style="275" customWidth="1"/>
    <col min="3" max="3" width="13.6640625" style="275" customWidth="1"/>
    <col min="4" max="4" width="12.1640625" style="275" customWidth="1"/>
    <col min="5" max="5" width="6" style="275" customWidth="1"/>
    <col min="6" max="6" width="10.83203125" style="275" customWidth="1"/>
    <col min="7" max="7" width="11.33203125" style="275" customWidth="1"/>
    <col min="8" max="8" width="15" style="275" customWidth="1"/>
    <col min="9" max="9" width="10.83203125" style="275" customWidth="1"/>
    <col min="10" max="10" width="13.1640625" style="275" bestFit="1" customWidth="1"/>
    <col min="11" max="11" width="8.6640625" style="275" customWidth="1"/>
    <col min="12" max="12" width="11.83203125" style="275" bestFit="1" customWidth="1"/>
    <col min="13" max="13" width="12" style="275" customWidth="1"/>
    <col min="14" max="14" width="12.1640625" style="275" customWidth="1"/>
    <col min="15" max="15" width="11.5" style="275" customWidth="1"/>
    <col min="16" max="16" width="11" style="275" bestFit="1" customWidth="1"/>
    <col min="17" max="17" width="10.1640625" style="275" bestFit="1" customWidth="1"/>
    <col min="18" max="18" width="11.1640625" style="275" customWidth="1"/>
    <col min="19" max="19" width="14.5" style="275" customWidth="1"/>
    <col min="20" max="20" width="14.6640625" style="274" customWidth="1"/>
    <col min="21" max="16384" width="9.33203125" style="274"/>
  </cols>
  <sheetData>
    <row r="1" spans="1:28" s="425" customFormat="1" ht="12.75" x14ac:dyDescent="0.2">
      <c r="A1" s="420"/>
      <c r="B1" s="422"/>
      <c r="C1" s="422"/>
      <c r="D1" s="422"/>
      <c r="E1" s="422"/>
      <c r="F1" s="422"/>
      <c r="G1" s="422"/>
      <c r="H1" s="422" t="s">
        <v>746</v>
      </c>
      <c r="I1" s="422"/>
      <c r="J1" s="422" t="s">
        <v>289</v>
      </c>
      <c r="K1" s="422"/>
      <c r="L1" s="422"/>
      <c r="M1" s="422"/>
      <c r="N1" s="422"/>
      <c r="O1" s="422"/>
      <c r="P1" s="422"/>
      <c r="Q1" s="422"/>
      <c r="R1" s="422"/>
      <c r="S1" s="420"/>
    </row>
    <row r="2" spans="1:28" s="425" customFormat="1" ht="12.75" x14ac:dyDescent="0.2">
      <c r="A2" s="420"/>
      <c r="B2" s="422"/>
      <c r="C2" s="422"/>
      <c r="D2" s="422"/>
      <c r="E2" s="422"/>
      <c r="F2" s="422"/>
      <c r="G2" s="422"/>
      <c r="H2" s="422" t="s">
        <v>386</v>
      </c>
      <c r="I2" s="422"/>
      <c r="J2" s="422" t="s">
        <v>386</v>
      </c>
      <c r="K2" s="422"/>
      <c r="L2" s="422"/>
      <c r="M2" s="422"/>
      <c r="N2" s="422"/>
      <c r="O2" s="422"/>
      <c r="P2" s="422"/>
      <c r="Q2" s="422"/>
      <c r="R2" s="422"/>
      <c r="S2" s="420"/>
    </row>
    <row r="3" spans="1:28" s="425" customFormat="1" ht="12.75" x14ac:dyDescent="0.2">
      <c r="A3" s="420" t="str">
        <f>"Oversigt over nettolønninger inkl. 3 dele pension pr. "&amp;Dato2</f>
        <v>Oversigt over nettolønninger inkl. 3 dele pension pr. 1. april 2026</v>
      </c>
      <c r="B3" s="422"/>
      <c r="C3" s="422"/>
      <c r="D3" s="422"/>
      <c r="E3" s="422"/>
      <c r="F3" s="422"/>
      <c r="G3" s="422"/>
      <c r="H3" s="422">
        <f>+procentregulering</f>
        <v>65.337800000000001</v>
      </c>
      <c r="I3" s="422"/>
      <c r="J3" s="422">
        <f>+ProcentreguleringSund</f>
        <v>45.015500000000003</v>
      </c>
      <c r="K3" s="422"/>
      <c r="L3" s="422"/>
      <c r="M3" s="422"/>
      <c r="N3" s="422"/>
      <c r="O3" s="422"/>
      <c r="P3" s="422"/>
      <c r="Q3" s="422"/>
      <c r="R3" s="422"/>
      <c r="S3" s="420"/>
    </row>
    <row r="4" spans="1:28" s="425" customFormat="1" ht="12.75" x14ac:dyDescent="0.2">
      <c r="A4" s="420"/>
      <c r="B4" s="422"/>
      <c r="C4" s="422"/>
      <c r="D4" s="422"/>
      <c r="E4" s="422"/>
      <c r="F4" s="422"/>
      <c r="G4" s="422"/>
      <c r="H4" s="422">
        <f>+(H3+100)/100</f>
        <v>1.6533780000000002</v>
      </c>
      <c r="I4" s="422"/>
      <c r="J4" s="422">
        <f>+(100+J3)/100</f>
        <v>1.4501550000000001</v>
      </c>
      <c r="K4" s="422"/>
      <c r="L4" s="422"/>
      <c r="M4" s="422"/>
      <c r="N4" s="422" t="s">
        <v>273</v>
      </c>
      <c r="O4" s="422"/>
      <c r="P4" s="422"/>
      <c r="Q4" s="422"/>
      <c r="R4" s="422" t="s">
        <v>275</v>
      </c>
      <c r="S4" s="420"/>
    </row>
    <row r="5" spans="1:28" s="425" customFormat="1" ht="12.75" x14ac:dyDescent="0.2">
      <c r="A5" s="420"/>
      <c r="B5" s="422"/>
      <c r="C5" s="422"/>
      <c r="D5" s="422" t="s">
        <v>100</v>
      </c>
      <c r="E5" s="422"/>
      <c r="F5" s="422"/>
      <c r="G5" s="422" t="s">
        <v>99</v>
      </c>
      <c r="H5" s="422"/>
      <c r="I5" s="422"/>
      <c r="J5" s="422"/>
      <c r="K5" s="422"/>
      <c r="L5" s="422"/>
      <c r="M5" s="422"/>
      <c r="N5" s="422" t="s">
        <v>274</v>
      </c>
      <c r="O5" s="422"/>
      <c r="P5" s="422"/>
      <c r="Q5" s="422"/>
      <c r="R5" s="422" t="s">
        <v>276</v>
      </c>
      <c r="S5" s="420"/>
    </row>
    <row r="6" spans="1:28" s="425" customFormat="1" ht="12.75" x14ac:dyDescent="0.2">
      <c r="A6" s="420"/>
      <c r="B6" s="422"/>
      <c r="C6" s="422"/>
      <c r="D6" s="422">
        <f>COLUMN()</f>
        <v>4</v>
      </c>
      <c r="E6" s="422"/>
      <c r="F6" s="422"/>
      <c r="G6" s="422">
        <f>COLUMN()</f>
        <v>7</v>
      </c>
      <c r="H6" s="422"/>
      <c r="I6" s="422"/>
      <c r="J6" s="422">
        <v>2006</v>
      </c>
      <c r="K6" s="422">
        <v>2006</v>
      </c>
      <c r="L6" s="422"/>
      <c r="M6" s="422"/>
      <c r="N6" s="422">
        <f>COLUMN()</f>
        <v>14</v>
      </c>
      <c r="O6" s="422">
        <v>2006</v>
      </c>
      <c r="P6" s="422"/>
      <c r="Q6" s="422"/>
      <c r="R6" s="422">
        <f>COLUMN()</f>
        <v>18</v>
      </c>
      <c r="S6" s="420"/>
    </row>
    <row r="7" spans="1:28" s="425" customFormat="1" ht="12.75" x14ac:dyDescent="0.2">
      <c r="A7" s="420" t="s">
        <v>19</v>
      </c>
      <c r="B7" s="422" t="s">
        <v>221</v>
      </c>
      <c r="C7" s="422" t="s">
        <v>3</v>
      </c>
      <c r="D7" s="422" t="s">
        <v>3</v>
      </c>
      <c r="E7" s="422"/>
      <c r="F7" s="422" t="s">
        <v>3</v>
      </c>
      <c r="G7" s="422" t="s">
        <v>3</v>
      </c>
      <c r="H7" s="422" t="s">
        <v>348</v>
      </c>
      <c r="I7" s="422"/>
      <c r="J7" s="422" t="s">
        <v>745</v>
      </c>
      <c r="K7" s="422" t="s">
        <v>744</v>
      </c>
      <c r="L7" s="422" t="s">
        <v>221</v>
      </c>
      <c r="M7" s="422" t="s">
        <v>3</v>
      </c>
      <c r="N7" s="422" t="s">
        <v>3</v>
      </c>
      <c r="O7" s="422" t="s">
        <v>745</v>
      </c>
      <c r="P7" s="422" t="s">
        <v>221</v>
      </c>
      <c r="Q7" s="422" t="s">
        <v>3</v>
      </c>
      <c r="R7" s="422" t="s">
        <v>3</v>
      </c>
      <c r="S7" s="420"/>
    </row>
    <row r="8" spans="1:28" s="425" customFormat="1" ht="12.75" x14ac:dyDescent="0.2">
      <c r="A8" s="420"/>
      <c r="B8" s="422" t="s">
        <v>222</v>
      </c>
      <c r="C8" s="422" t="s">
        <v>76</v>
      </c>
      <c r="D8" s="422" t="s">
        <v>124</v>
      </c>
      <c r="E8" s="422"/>
      <c r="F8" s="422" t="s">
        <v>76</v>
      </c>
      <c r="G8" s="422" t="s">
        <v>124</v>
      </c>
      <c r="H8" s="422" t="s">
        <v>710</v>
      </c>
      <c r="I8" s="422"/>
      <c r="J8" s="422" t="s">
        <v>21</v>
      </c>
      <c r="K8" s="422" t="s">
        <v>70</v>
      </c>
      <c r="L8" s="422" t="s">
        <v>222</v>
      </c>
      <c r="M8" s="422" t="s">
        <v>76</v>
      </c>
      <c r="N8" s="422" t="s">
        <v>124</v>
      </c>
      <c r="O8" s="422" t="s">
        <v>21</v>
      </c>
      <c r="P8" s="422" t="s">
        <v>222</v>
      </c>
      <c r="Q8" s="422" t="s">
        <v>76</v>
      </c>
      <c r="R8" s="422" t="s">
        <v>124</v>
      </c>
      <c r="S8" s="420"/>
    </row>
    <row r="9" spans="1:28" ht="13.5" thickBot="1" x14ac:dyDescent="0.25">
      <c r="A9" s="275">
        <v>0</v>
      </c>
      <c r="B9" s="421">
        <v>0</v>
      </c>
      <c r="C9" s="421">
        <v>0</v>
      </c>
      <c r="D9" s="421">
        <v>0</v>
      </c>
      <c r="E9" s="419"/>
      <c r="F9" s="421">
        <v>0</v>
      </c>
      <c r="G9" s="421">
        <v>0</v>
      </c>
      <c r="H9" s="419"/>
      <c r="I9" s="419"/>
      <c r="J9" s="419"/>
      <c r="K9" s="419"/>
      <c r="L9" s="421">
        <v>0</v>
      </c>
      <c r="M9" s="421">
        <v>0</v>
      </c>
      <c r="N9" s="421">
        <v>0</v>
      </c>
      <c r="O9" s="419"/>
      <c r="P9" s="421">
        <v>0</v>
      </c>
      <c r="Q9" s="421">
        <v>0</v>
      </c>
      <c r="R9" s="421">
        <v>0</v>
      </c>
      <c r="S9" s="420"/>
    </row>
    <row r="10" spans="1:28" ht="12.75" x14ac:dyDescent="0.2">
      <c r="A10" s="275">
        <v>1</v>
      </c>
      <c r="B10" s="572">
        <v>255018</v>
      </c>
      <c r="C10" s="572">
        <v>255018</v>
      </c>
      <c r="D10" s="421">
        <f t="shared" ref="D10:D41" si="0">ROUND(C10/12,2)</f>
        <v>21251.5</v>
      </c>
      <c r="E10" s="419"/>
      <c r="F10" s="559">
        <f t="shared" ref="F10:F17" si="1">+H10*$H$4</f>
        <v>338324.12662800006</v>
      </c>
      <c r="G10" s="557">
        <f>ROUND(F10/12,2)</f>
        <v>28193.68</v>
      </c>
      <c r="H10" s="560">
        <v>204626</v>
      </c>
      <c r="I10" s="419"/>
      <c r="J10" s="454">
        <v>219000</v>
      </c>
      <c r="K10" s="454">
        <v>11437</v>
      </c>
      <c r="L10" s="733">
        <v>335882</v>
      </c>
      <c r="M10" s="565">
        <f>+L10</f>
        <v>335882</v>
      </c>
      <c r="N10" s="421">
        <f>ROUND(M10/12,2)</f>
        <v>27990.17</v>
      </c>
      <c r="O10" s="456">
        <v>307581</v>
      </c>
      <c r="P10" s="483">
        <f>+O10*J$4</f>
        <v>446040.12505500001</v>
      </c>
      <c r="Q10" s="483">
        <f>+O10*J$4</f>
        <v>446040.12505500001</v>
      </c>
      <c r="R10" s="421">
        <f t="shared" ref="R10:R25" si="2">ROUND(Q10/12,2)</f>
        <v>37170.01</v>
      </c>
      <c r="S10" s="420"/>
      <c r="T10" s="483"/>
      <c r="U10" s="274" t="s">
        <v>747</v>
      </c>
      <c r="AB10" s="463"/>
    </row>
    <row r="11" spans="1:28" ht="12.75" x14ac:dyDescent="0.2">
      <c r="A11" s="275">
        <v>2</v>
      </c>
      <c r="B11" s="573">
        <v>259040</v>
      </c>
      <c r="C11" s="573">
        <v>259040</v>
      </c>
      <c r="D11" s="421">
        <f t="shared" si="0"/>
        <v>21586.67</v>
      </c>
      <c r="E11" s="419"/>
      <c r="F11" s="559">
        <f t="shared" si="1"/>
        <v>352982.97597600007</v>
      </c>
      <c r="G11" s="557">
        <f t="shared" ref="G11:G19" si="3">ROUND(F11/12,2)</f>
        <v>29415.25</v>
      </c>
      <c r="H11" s="558">
        <v>213492</v>
      </c>
      <c r="I11" s="424"/>
      <c r="J11" s="454">
        <v>223500</v>
      </c>
      <c r="K11" s="454">
        <v>12027</v>
      </c>
      <c r="L11" s="731">
        <v>343263</v>
      </c>
      <c r="M11" s="565">
        <f>+L11</f>
        <v>343263</v>
      </c>
      <c r="N11" s="421">
        <f t="shared" ref="N11:N65" si="4">ROUND(M11/12,2)</f>
        <v>28605.25</v>
      </c>
      <c r="O11" s="456">
        <v>312041</v>
      </c>
      <c r="P11" s="483">
        <f>+O11*J$4</f>
        <v>452507.81635500002</v>
      </c>
      <c r="Q11" s="483">
        <f t="shared" ref="Q11:Q25" si="5">+O11*J$4</f>
        <v>452507.81635500002</v>
      </c>
      <c r="R11" s="421">
        <f t="shared" si="2"/>
        <v>37708.980000000003</v>
      </c>
      <c r="S11" s="420"/>
      <c r="T11" s="483"/>
      <c r="AB11" s="464"/>
    </row>
    <row r="12" spans="1:28" ht="12.75" x14ac:dyDescent="0.2">
      <c r="A12" s="275">
        <v>3</v>
      </c>
      <c r="B12" s="573">
        <v>263172</v>
      </c>
      <c r="C12" s="573">
        <v>263172</v>
      </c>
      <c r="D12" s="421">
        <f t="shared" si="0"/>
        <v>21931</v>
      </c>
      <c r="E12" s="419"/>
      <c r="F12" s="559">
        <f t="shared" si="1"/>
        <v>388849.70493000007</v>
      </c>
      <c r="G12" s="557">
        <f t="shared" si="3"/>
        <v>32404.14</v>
      </c>
      <c r="H12" s="419">
        <v>235185</v>
      </c>
      <c r="I12" s="424"/>
      <c r="J12" s="454">
        <v>234600</v>
      </c>
      <c r="K12" s="454">
        <v>12649</v>
      </c>
      <c r="L12" s="731">
        <v>359421</v>
      </c>
      <c r="M12" s="565">
        <f>+L12</f>
        <v>359421</v>
      </c>
      <c r="N12" s="421">
        <f t="shared" si="4"/>
        <v>29951.75</v>
      </c>
      <c r="O12" s="456">
        <v>316858</v>
      </c>
      <c r="P12" s="483">
        <f t="shared" ref="P12:P22" si="6">+O12*J$4</f>
        <v>459493.21299000003</v>
      </c>
      <c r="Q12" s="483">
        <f t="shared" si="5"/>
        <v>459493.21299000003</v>
      </c>
      <c r="R12" s="421">
        <f t="shared" si="2"/>
        <v>38291.1</v>
      </c>
      <c r="S12" s="420"/>
      <c r="T12" s="483"/>
      <c r="U12" s="274" t="s">
        <v>748</v>
      </c>
      <c r="AB12" s="464"/>
    </row>
    <row r="13" spans="1:28" ht="12.75" x14ac:dyDescent="0.2">
      <c r="A13" s="275">
        <v>4</v>
      </c>
      <c r="B13" s="573">
        <v>267416</v>
      </c>
      <c r="C13" s="573">
        <v>267416</v>
      </c>
      <c r="D13" s="421">
        <f t="shared" si="0"/>
        <v>22284.67</v>
      </c>
      <c r="E13" s="419"/>
      <c r="F13" s="559">
        <f t="shared" si="1"/>
        <v>388849.70493000007</v>
      </c>
      <c r="G13" s="557">
        <f t="shared" si="3"/>
        <v>32404.14</v>
      </c>
      <c r="H13" s="419">
        <v>235185</v>
      </c>
      <c r="I13" s="424"/>
      <c r="J13" s="454">
        <v>243700</v>
      </c>
      <c r="K13" s="454">
        <v>12302</v>
      </c>
      <c r="L13" s="731">
        <v>371243</v>
      </c>
      <c r="M13" s="564">
        <f>+L13</f>
        <v>371243</v>
      </c>
      <c r="N13" s="421">
        <f t="shared" si="4"/>
        <v>30936.92</v>
      </c>
      <c r="O13" s="456">
        <v>321558</v>
      </c>
      <c r="P13" s="483">
        <f t="shared" si="6"/>
        <v>466308.94149000006</v>
      </c>
      <c r="Q13" s="483">
        <f t="shared" si="5"/>
        <v>466308.94149000006</v>
      </c>
      <c r="R13" s="421">
        <f t="shared" si="2"/>
        <v>38859.08</v>
      </c>
      <c r="S13" s="420"/>
      <c r="T13" s="483"/>
      <c r="AB13" s="464"/>
    </row>
    <row r="14" spans="1:28" ht="12.75" x14ac:dyDescent="0.2">
      <c r="A14" s="275">
        <v>5</v>
      </c>
      <c r="B14" s="574">
        <v>271776</v>
      </c>
      <c r="C14" s="574">
        <v>271776</v>
      </c>
      <c r="D14" s="421">
        <f t="shared" si="0"/>
        <v>22648</v>
      </c>
      <c r="E14" s="419"/>
      <c r="F14" s="559">
        <f t="shared" si="1"/>
        <v>414143.08157400007</v>
      </c>
      <c r="G14" s="557">
        <f t="shared" si="3"/>
        <v>34511.919999999998</v>
      </c>
      <c r="H14" s="419">
        <v>250483</v>
      </c>
      <c r="I14" s="424"/>
      <c r="J14" s="454">
        <v>251500</v>
      </c>
      <c r="K14" s="454">
        <v>10752</v>
      </c>
      <c r="L14" s="731">
        <v>380306</v>
      </c>
      <c r="M14" s="564">
        <f t="shared" ref="M14:M18" si="7">+L14</f>
        <v>380306</v>
      </c>
      <c r="N14" s="421">
        <f t="shared" si="4"/>
        <v>31692.17</v>
      </c>
      <c r="O14" s="456">
        <v>326331</v>
      </c>
      <c r="P14" s="483">
        <f t="shared" si="6"/>
        <v>473230.53130500001</v>
      </c>
      <c r="Q14" s="483">
        <f t="shared" si="5"/>
        <v>473230.53130500001</v>
      </c>
      <c r="R14" s="421">
        <f t="shared" si="2"/>
        <v>39435.879999999997</v>
      </c>
      <c r="S14" s="420"/>
      <c r="T14" s="483"/>
      <c r="U14" s="274" t="s">
        <v>758</v>
      </c>
      <c r="AB14" s="465"/>
    </row>
    <row r="15" spans="1:28" ht="12.75" x14ac:dyDescent="0.2">
      <c r="A15" s="275">
        <v>6</v>
      </c>
      <c r="B15" s="573">
        <v>276259</v>
      </c>
      <c r="C15" s="573">
        <v>276259</v>
      </c>
      <c r="D15" s="421">
        <f t="shared" si="0"/>
        <v>23021.58</v>
      </c>
      <c r="E15" s="419"/>
      <c r="F15" s="559">
        <f t="shared" si="1"/>
        <v>435068.23354200006</v>
      </c>
      <c r="G15" s="557">
        <f t="shared" si="3"/>
        <v>36255.69</v>
      </c>
      <c r="H15" s="419">
        <v>263139</v>
      </c>
      <c r="I15" s="424"/>
      <c r="J15" s="454">
        <v>279400</v>
      </c>
      <c r="K15" s="454">
        <v>8148</v>
      </c>
      <c r="L15" s="731">
        <v>416989</v>
      </c>
      <c r="M15" s="564">
        <f t="shared" si="7"/>
        <v>416989</v>
      </c>
      <c r="N15" s="421">
        <f t="shared" si="4"/>
        <v>34749.08</v>
      </c>
      <c r="O15" s="456">
        <v>331178</v>
      </c>
      <c r="P15" s="483">
        <f t="shared" si="6"/>
        <v>480259.43259000004</v>
      </c>
      <c r="Q15" s="483">
        <f t="shared" si="5"/>
        <v>480259.43259000004</v>
      </c>
      <c r="R15" s="421">
        <f t="shared" si="2"/>
        <v>40021.620000000003</v>
      </c>
      <c r="S15" s="420"/>
      <c r="T15" s="484"/>
      <c r="AB15" s="464"/>
    </row>
    <row r="16" spans="1:28" ht="12.75" x14ac:dyDescent="0.2">
      <c r="A16" s="275">
        <v>7</v>
      </c>
      <c r="B16" s="573">
        <v>280861</v>
      </c>
      <c r="C16" s="573">
        <v>280861</v>
      </c>
      <c r="D16" s="421">
        <f t="shared" si="0"/>
        <v>23405.08</v>
      </c>
      <c r="E16" s="419"/>
      <c r="F16" s="559">
        <f t="shared" si="1"/>
        <v>446848.55179200007</v>
      </c>
      <c r="G16" s="557">
        <f t="shared" si="3"/>
        <v>37237.379999999997</v>
      </c>
      <c r="H16" s="419">
        <v>270264</v>
      </c>
      <c r="I16" s="424"/>
      <c r="J16" s="454">
        <v>290500</v>
      </c>
      <c r="K16" s="454">
        <v>6864</v>
      </c>
      <c r="L16" s="731">
        <v>431224</v>
      </c>
      <c r="M16" s="564">
        <f t="shared" si="7"/>
        <v>431224</v>
      </c>
      <c r="N16" s="421">
        <f t="shared" si="4"/>
        <v>35935.33</v>
      </c>
      <c r="O16" s="456">
        <v>336099</v>
      </c>
      <c r="P16" s="483">
        <f t="shared" si="6"/>
        <v>487395.64534500003</v>
      </c>
      <c r="Q16" s="483">
        <f t="shared" si="5"/>
        <v>487395.64534500003</v>
      </c>
      <c r="R16" s="421">
        <f t="shared" si="2"/>
        <v>40616.300000000003</v>
      </c>
      <c r="S16" s="420"/>
      <c r="T16" s="485"/>
      <c r="AB16" s="464"/>
    </row>
    <row r="17" spans="1:28" ht="12.75" x14ac:dyDescent="0.2">
      <c r="A17" s="275">
        <v>8</v>
      </c>
      <c r="B17" s="573">
        <v>285765</v>
      </c>
      <c r="C17" s="573">
        <v>285765</v>
      </c>
      <c r="D17" s="421">
        <f t="shared" si="0"/>
        <v>23813.75</v>
      </c>
      <c r="E17" s="419"/>
      <c r="F17" s="559">
        <f t="shared" si="1"/>
        <v>477064.03474200005</v>
      </c>
      <c r="G17" s="557">
        <f t="shared" si="3"/>
        <v>39755.339999999997</v>
      </c>
      <c r="H17" s="419">
        <v>288539</v>
      </c>
      <c r="I17" s="424"/>
      <c r="J17" s="454">
        <v>301100</v>
      </c>
      <c r="K17" s="454">
        <v>5420</v>
      </c>
      <c r="L17" s="731">
        <v>444502</v>
      </c>
      <c r="M17" s="564">
        <f t="shared" si="7"/>
        <v>444502</v>
      </c>
      <c r="N17" s="421">
        <f t="shared" si="4"/>
        <v>37041.83</v>
      </c>
      <c r="O17" s="456">
        <v>343569</v>
      </c>
      <c r="P17" s="483">
        <f t="shared" si="6"/>
        <v>498228.30319500004</v>
      </c>
      <c r="Q17" s="483">
        <f t="shared" si="5"/>
        <v>498228.30319500004</v>
      </c>
      <c r="R17" s="421">
        <f t="shared" si="2"/>
        <v>41519.03</v>
      </c>
      <c r="S17" s="420"/>
      <c r="T17" s="485"/>
      <c r="AB17" s="464"/>
    </row>
    <row r="18" spans="1:28" ht="12.75" x14ac:dyDescent="0.2">
      <c r="A18" s="275">
        <v>9</v>
      </c>
      <c r="B18" s="573">
        <v>294663</v>
      </c>
      <c r="C18" s="573">
        <v>294663</v>
      </c>
      <c r="D18" s="421">
        <f t="shared" si="0"/>
        <v>24555.25</v>
      </c>
      <c r="E18" s="419"/>
      <c r="F18" s="553">
        <f t="shared" ref="F18:F19" si="8">+H18*$H$4</f>
        <v>598939.48725600005</v>
      </c>
      <c r="G18" s="554">
        <f t="shared" si="3"/>
        <v>49911.62</v>
      </c>
      <c r="H18" s="423">
        <v>362252</v>
      </c>
      <c r="I18" s="424"/>
      <c r="J18" s="454">
        <v>311700</v>
      </c>
      <c r="K18" s="455">
        <v>3881</v>
      </c>
      <c r="L18" s="732">
        <v>457641</v>
      </c>
      <c r="M18" s="564">
        <f t="shared" si="7"/>
        <v>457641</v>
      </c>
      <c r="N18" s="421">
        <f t="shared" si="4"/>
        <v>38136.75</v>
      </c>
      <c r="O18" s="456">
        <v>351244</v>
      </c>
      <c r="P18" s="483">
        <f t="shared" si="6"/>
        <v>509358.24282000004</v>
      </c>
      <c r="Q18" s="483">
        <f t="shared" si="5"/>
        <v>509358.24282000004</v>
      </c>
      <c r="R18" s="421">
        <f t="shared" si="2"/>
        <v>42446.52</v>
      </c>
      <c r="S18" s="420"/>
      <c r="T18" s="485"/>
      <c r="AB18" s="464"/>
    </row>
    <row r="19" spans="1:28" ht="12.75" x14ac:dyDescent="0.2">
      <c r="A19" s="275">
        <v>10</v>
      </c>
      <c r="B19" s="574">
        <v>296998</v>
      </c>
      <c r="C19" s="574">
        <v>296998</v>
      </c>
      <c r="D19" s="421">
        <f t="shared" si="0"/>
        <v>24749.83</v>
      </c>
      <c r="E19" s="419"/>
      <c r="F19" s="553">
        <f t="shared" si="8"/>
        <v>643747.68443400005</v>
      </c>
      <c r="G19" s="554">
        <f t="shared" si="3"/>
        <v>53645.64</v>
      </c>
      <c r="H19" s="423">
        <v>389353</v>
      </c>
      <c r="I19" s="419" t="s">
        <v>759</v>
      </c>
      <c r="J19" s="454"/>
      <c r="K19" s="419">
        <v>0</v>
      </c>
      <c r="L19" s="555">
        <f>+M19</f>
        <v>0</v>
      </c>
      <c r="M19" s="556">
        <f t="shared" ref="M19" si="9">+(J19+K19)*$J$4</f>
        <v>0</v>
      </c>
      <c r="N19" s="554">
        <f t="shared" si="4"/>
        <v>0</v>
      </c>
      <c r="O19" s="456">
        <v>359131</v>
      </c>
      <c r="P19" s="483">
        <f t="shared" si="6"/>
        <v>520795.61530500004</v>
      </c>
      <c r="Q19" s="483">
        <f t="shared" si="5"/>
        <v>520795.61530500004</v>
      </c>
      <c r="R19" s="421">
        <f t="shared" si="2"/>
        <v>43399.63</v>
      </c>
      <c r="S19" s="420"/>
      <c r="T19" s="485"/>
      <c r="X19" s="274">
        <f>147194*1.377253</f>
        <v>202723.37808200001</v>
      </c>
      <c r="AB19" s="465"/>
    </row>
    <row r="20" spans="1:28" ht="12.75" x14ac:dyDescent="0.2">
      <c r="A20" s="275">
        <v>11</v>
      </c>
      <c r="B20" s="573">
        <v>304837</v>
      </c>
      <c r="C20" s="573">
        <v>304837</v>
      </c>
      <c r="D20" s="421">
        <f t="shared" si="0"/>
        <v>25403.08</v>
      </c>
      <c r="E20" s="419"/>
      <c r="F20" s="421">
        <v>0</v>
      </c>
      <c r="G20" s="421">
        <v>0</v>
      </c>
      <c r="H20" s="423"/>
      <c r="I20" s="419"/>
      <c r="J20" s="448"/>
      <c r="K20" s="419"/>
      <c r="L20" s="555">
        <f t="shared" ref="L20:L25" si="10">+M20</f>
        <v>0</v>
      </c>
      <c r="M20" s="556">
        <f t="shared" ref="M20:M25" si="11">+(J20+K20)*$J$4</f>
        <v>0</v>
      </c>
      <c r="N20" s="554">
        <f t="shared" ref="N20:N25" si="12">ROUND(M20/12,2)</f>
        <v>0</v>
      </c>
      <c r="O20" s="456">
        <v>367234</v>
      </c>
      <c r="P20" s="483">
        <f t="shared" si="6"/>
        <v>532546.22126999998</v>
      </c>
      <c r="Q20" s="483">
        <f t="shared" si="5"/>
        <v>532546.22126999998</v>
      </c>
      <c r="R20" s="421">
        <f t="shared" si="2"/>
        <v>44378.85</v>
      </c>
      <c r="S20" s="420"/>
      <c r="T20" s="486"/>
      <c r="AB20" s="464"/>
    </row>
    <row r="21" spans="1:28" ht="12.75" x14ac:dyDescent="0.2">
      <c r="A21" s="275">
        <v>12</v>
      </c>
      <c r="B21" s="573">
        <v>310111</v>
      </c>
      <c r="C21" s="573">
        <v>310111</v>
      </c>
      <c r="D21" s="421">
        <f t="shared" si="0"/>
        <v>25842.58</v>
      </c>
      <c r="E21" s="419"/>
      <c r="F21" s="421">
        <v>0</v>
      </c>
      <c r="G21" s="421">
        <v>0</v>
      </c>
      <c r="H21" s="423"/>
      <c r="I21" s="419"/>
      <c r="J21" s="448"/>
      <c r="K21" s="419"/>
      <c r="L21" s="555">
        <f t="shared" si="10"/>
        <v>0</v>
      </c>
      <c r="M21" s="556">
        <f t="shared" si="11"/>
        <v>0</v>
      </c>
      <c r="N21" s="554">
        <f t="shared" si="12"/>
        <v>0</v>
      </c>
      <c r="O21" s="456">
        <v>384115</v>
      </c>
      <c r="P21" s="483">
        <f t="shared" si="6"/>
        <v>557026.28782500001</v>
      </c>
      <c r="Q21" s="483">
        <f t="shared" si="5"/>
        <v>557026.28782500001</v>
      </c>
      <c r="R21" s="421">
        <f t="shared" si="2"/>
        <v>46418.86</v>
      </c>
      <c r="S21" s="420"/>
      <c r="T21" s="485"/>
      <c r="AB21" s="464"/>
    </row>
    <row r="22" spans="1:28" ht="12.75" x14ac:dyDescent="0.2">
      <c r="A22" s="275">
        <v>13</v>
      </c>
      <c r="B22" s="573">
        <v>315537</v>
      </c>
      <c r="C22" s="573">
        <v>315537</v>
      </c>
      <c r="D22" s="421">
        <f t="shared" si="0"/>
        <v>26294.75</v>
      </c>
      <c r="E22" s="419"/>
      <c r="F22" s="421">
        <v>0</v>
      </c>
      <c r="G22" s="421">
        <v>0</v>
      </c>
      <c r="H22" s="423"/>
      <c r="I22" s="419"/>
      <c r="J22" s="448"/>
      <c r="K22" s="419"/>
      <c r="L22" s="555">
        <f t="shared" si="10"/>
        <v>0</v>
      </c>
      <c r="M22" s="556">
        <f t="shared" si="11"/>
        <v>0</v>
      </c>
      <c r="N22" s="554">
        <f t="shared" si="12"/>
        <v>0</v>
      </c>
      <c r="O22" s="456">
        <v>409894</v>
      </c>
      <c r="P22" s="483">
        <f t="shared" si="6"/>
        <v>594409.83357000002</v>
      </c>
      <c r="Q22" s="483">
        <f t="shared" si="5"/>
        <v>594409.83357000002</v>
      </c>
      <c r="R22" s="421">
        <f t="shared" si="2"/>
        <v>49534.15</v>
      </c>
      <c r="S22" s="420"/>
      <c r="T22" s="485"/>
      <c r="AB22" s="464"/>
    </row>
    <row r="23" spans="1:28" ht="12.75" x14ac:dyDescent="0.2">
      <c r="A23" s="275">
        <v>14</v>
      </c>
      <c r="B23" s="573">
        <v>321110</v>
      </c>
      <c r="C23" s="573">
        <v>321110</v>
      </c>
      <c r="D23" s="421">
        <f t="shared" si="0"/>
        <v>26759.17</v>
      </c>
      <c r="E23" s="419"/>
      <c r="F23" s="421">
        <v>0</v>
      </c>
      <c r="G23" s="421">
        <v>0</v>
      </c>
      <c r="H23" s="423"/>
      <c r="I23" s="419" t="s">
        <v>775</v>
      </c>
      <c r="J23" s="454">
        <v>268143</v>
      </c>
      <c r="K23" s="419"/>
      <c r="L23" s="555">
        <f t="shared" si="10"/>
        <v>388848.91216500005</v>
      </c>
      <c r="M23" s="556">
        <f t="shared" si="11"/>
        <v>388848.91216500005</v>
      </c>
      <c r="N23" s="554">
        <f t="shared" si="12"/>
        <v>32404.080000000002</v>
      </c>
      <c r="O23" s="456">
        <v>438508</v>
      </c>
      <c r="P23" s="550">
        <v>650902</v>
      </c>
      <c r="Q23" s="483">
        <f t="shared" si="5"/>
        <v>635904.56874000002</v>
      </c>
      <c r="R23" s="421">
        <f t="shared" si="2"/>
        <v>52992.05</v>
      </c>
      <c r="S23" s="420"/>
      <c r="T23" s="485"/>
      <c r="AB23" s="464"/>
    </row>
    <row r="24" spans="1:28" ht="12.75" x14ac:dyDescent="0.2">
      <c r="A24" s="275">
        <v>15</v>
      </c>
      <c r="B24" s="574">
        <v>324533</v>
      </c>
      <c r="C24" s="574">
        <v>324533</v>
      </c>
      <c r="D24" s="421">
        <f t="shared" si="0"/>
        <v>27044.42</v>
      </c>
      <c r="E24" s="419"/>
      <c r="F24" s="421">
        <v>0</v>
      </c>
      <c r="G24" s="421">
        <v>0</v>
      </c>
      <c r="H24" s="423"/>
      <c r="I24" s="419" t="s">
        <v>776</v>
      </c>
      <c r="J24" s="448">
        <v>285585</v>
      </c>
      <c r="K24" s="419"/>
      <c r="L24" s="555">
        <f t="shared" si="10"/>
        <v>414142.51567500003</v>
      </c>
      <c r="M24" s="556">
        <f t="shared" si="11"/>
        <v>414142.51567500003</v>
      </c>
      <c r="N24" s="554">
        <f t="shared" si="12"/>
        <v>34511.879999999997</v>
      </c>
      <c r="O24" s="456">
        <v>484363</v>
      </c>
      <c r="P24" s="550">
        <v>721310</v>
      </c>
      <c r="Q24" s="483">
        <f t="shared" si="5"/>
        <v>702401.42626500002</v>
      </c>
      <c r="R24" s="421">
        <f t="shared" si="2"/>
        <v>58533.45</v>
      </c>
      <c r="S24" s="420"/>
      <c r="T24" s="485"/>
      <c r="AB24" s="465"/>
    </row>
    <row r="25" spans="1:28" ht="12.75" x14ac:dyDescent="0.2">
      <c r="A25" s="275">
        <v>16</v>
      </c>
      <c r="B25" s="573">
        <v>330187</v>
      </c>
      <c r="C25" s="573">
        <v>330187</v>
      </c>
      <c r="D25" s="421">
        <f t="shared" si="0"/>
        <v>27515.58</v>
      </c>
      <c r="E25" s="419"/>
      <c r="F25" s="421">
        <v>0</v>
      </c>
      <c r="G25" s="421">
        <v>0</v>
      </c>
      <c r="H25" s="423"/>
      <c r="I25" s="419" t="s">
        <v>777</v>
      </c>
      <c r="J25" s="448">
        <v>300015</v>
      </c>
      <c r="K25" s="419"/>
      <c r="L25" s="555">
        <f t="shared" si="10"/>
        <v>435068.25232500001</v>
      </c>
      <c r="M25" s="556">
        <f t="shared" si="11"/>
        <v>435068.25232500001</v>
      </c>
      <c r="N25" s="554">
        <f t="shared" si="12"/>
        <v>36255.69</v>
      </c>
      <c r="O25" s="456">
        <v>551144</v>
      </c>
      <c r="P25" s="550">
        <v>821495</v>
      </c>
      <c r="Q25" s="483">
        <f t="shared" si="5"/>
        <v>799244.22732000006</v>
      </c>
      <c r="R25" s="421">
        <f t="shared" si="2"/>
        <v>66603.69</v>
      </c>
      <c r="S25" s="420"/>
      <c r="T25" s="486"/>
      <c r="AB25" s="463"/>
    </row>
    <row r="26" spans="1:28" ht="12.75" x14ac:dyDescent="0.2">
      <c r="A26" s="275">
        <v>17</v>
      </c>
      <c r="B26" s="573">
        <v>335042</v>
      </c>
      <c r="C26" s="573">
        <v>335042</v>
      </c>
      <c r="D26" s="421">
        <f t="shared" si="0"/>
        <v>27920.17</v>
      </c>
      <c r="E26" s="419"/>
      <c r="F26" s="421">
        <v>0</v>
      </c>
      <c r="G26" s="421">
        <v>0</v>
      </c>
      <c r="H26" s="423"/>
      <c r="I26" s="423"/>
      <c r="J26" s="448"/>
      <c r="K26" s="419"/>
      <c r="L26" s="555"/>
      <c r="M26" s="556"/>
      <c r="N26" s="554"/>
      <c r="O26" s="419"/>
      <c r="P26" s="421">
        <v>0</v>
      </c>
      <c r="Q26" s="421">
        <v>0</v>
      </c>
      <c r="R26" s="421">
        <f t="shared" ref="R26:R65" si="13">ROUND(Q26/12,2)</f>
        <v>0</v>
      </c>
      <c r="S26" s="420"/>
      <c r="AB26" s="464"/>
    </row>
    <row r="27" spans="1:28" ht="12.75" x14ac:dyDescent="0.2">
      <c r="A27" s="275">
        <v>18</v>
      </c>
      <c r="B27" s="573">
        <v>341285</v>
      </c>
      <c r="C27" s="573">
        <v>341285</v>
      </c>
      <c r="D27" s="421">
        <f t="shared" si="0"/>
        <v>28440.42</v>
      </c>
      <c r="E27" s="419"/>
      <c r="F27" s="421">
        <v>0</v>
      </c>
      <c r="G27" s="421">
        <v>0</v>
      </c>
      <c r="H27" s="423"/>
      <c r="I27" s="423" t="s">
        <v>778</v>
      </c>
      <c r="J27" s="448">
        <v>327746</v>
      </c>
      <c r="K27" s="419"/>
      <c r="L27" s="555">
        <f t="shared" ref="L27" si="14">+M27</f>
        <v>475282.50063000002</v>
      </c>
      <c r="M27" s="556">
        <f t="shared" ref="M27" si="15">+(J27+K27)*$J$4</f>
        <v>475282.50063000002</v>
      </c>
      <c r="N27" s="554">
        <f t="shared" ref="N27" si="16">ROUND(M27/12,2)</f>
        <v>39606.879999999997</v>
      </c>
      <c r="O27" s="419"/>
      <c r="P27" s="421">
        <v>0</v>
      </c>
      <c r="Q27" s="421">
        <v>0</v>
      </c>
      <c r="R27" s="421">
        <f t="shared" si="13"/>
        <v>0</v>
      </c>
      <c r="AB27" s="464"/>
    </row>
    <row r="28" spans="1:28" ht="12.75" x14ac:dyDescent="0.2">
      <c r="A28" s="275">
        <v>19</v>
      </c>
      <c r="B28" s="573">
        <v>346084</v>
      </c>
      <c r="C28" s="573">
        <v>346084</v>
      </c>
      <c r="D28" s="421">
        <f t="shared" si="0"/>
        <v>28840.33</v>
      </c>
      <c r="E28" s="419"/>
      <c r="F28" s="421">
        <v>0</v>
      </c>
      <c r="G28" s="421">
        <v>0</v>
      </c>
      <c r="H28" s="423"/>
      <c r="I28" s="423"/>
      <c r="J28" s="449"/>
      <c r="K28" s="419"/>
      <c r="L28" s="421">
        <v>0</v>
      </c>
      <c r="M28" s="421">
        <v>0</v>
      </c>
      <c r="N28" s="421">
        <f t="shared" si="4"/>
        <v>0</v>
      </c>
      <c r="O28" s="419"/>
      <c r="P28" s="421">
        <v>0</v>
      </c>
      <c r="Q28" s="421">
        <v>0</v>
      </c>
      <c r="R28" s="421">
        <f t="shared" si="13"/>
        <v>0</v>
      </c>
      <c r="T28" s="457"/>
      <c r="AB28" s="464"/>
    </row>
    <row r="29" spans="1:28" ht="13.5" customHeight="1" x14ac:dyDescent="0.2">
      <c r="A29" s="275">
        <v>20</v>
      </c>
      <c r="B29" s="574">
        <v>350424</v>
      </c>
      <c r="C29" s="574">
        <v>350424</v>
      </c>
      <c r="D29" s="421">
        <f t="shared" si="0"/>
        <v>29202</v>
      </c>
      <c r="E29" s="419"/>
      <c r="F29" s="421">
        <v>0</v>
      </c>
      <c r="G29" s="421">
        <v>0</v>
      </c>
      <c r="H29" s="423"/>
      <c r="I29" s="423"/>
      <c r="J29" s="449"/>
      <c r="K29" s="419"/>
      <c r="L29" s="421">
        <v>0</v>
      </c>
      <c r="M29" s="421">
        <v>0</v>
      </c>
      <c r="N29" s="421">
        <f t="shared" si="4"/>
        <v>0</v>
      </c>
      <c r="O29" s="419"/>
      <c r="P29" s="421">
        <v>0</v>
      </c>
      <c r="Q29" s="421">
        <v>0</v>
      </c>
      <c r="R29" s="421">
        <f t="shared" si="13"/>
        <v>0</v>
      </c>
      <c r="T29" s="458"/>
      <c r="AB29" s="465"/>
    </row>
    <row r="30" spans="1:28" ht="12.75" x14ac:dyDescent="0.2">
      <c r="A30" s="275">
        <v>21</v>
      </c>
      <c r="B30" s="573">
        <v>356387</v>
      </c>
      <c r="C30" s="573">
        <v>356387</v>
      </c>
      <c r="D30" s="421">
        <f t="shared" si="0"/>
        <v>29698.92</v>
      </c>
      <c r="E30" s="419"/>
      <c r="F30" s="421">
        <v>0</v>
      </c>
      <c r="G30" s="421">
        <v>0</v>
      </c>
      <c r="H30" s="423"/>
      <c r="I30" s="423"/>
      <c r="J30" s="449"/>
      <c r="K30" s="419"/>
      <c r="L30" s="421">
        <v>0</v>
      </c>
      <c r="M30" s="421">
        <v>0</v>
      </c>
      <c r="N30" s="421">
        <f t="shared" si="4"/>
        <v>0</v>
      </c>
      <c r="O30" s="419"/>
      <c r="P30" s="421">
        <v>0</v>
      </c>
      <c r="Q30" s="421">
        <v>0</v>
      </c>
      <c r="R30" s="421">
        <f t="shared" si="13"/>
        <v>0</v>
      </c>
      <c r="T30" s="457"/>
      <c r="AB30" s="464"/>
    </row>
    <row r="31" spans="1:28" ht="12.75" x14ac:dyDescent="0.2">
      <c r="A31" s="275">
        <v>22</v>
      </c>
      <c r="B31" s="573">
        <v>360393</v>
      </c>
      <c r="C31" s="573">
        <v>360393</v>
      </c>
      <c r="D31" s="421">
        <f t="shared" si="0"/>
        <v>30032.75</v>
      </c>
      <c r="E31" s="419"/>
      <c r="F31" s="421">
        <v>0</v>
      </c>
      <c r="G31" s="421">
        <v>0</v>
      </c>
      <c r="H31" s="423"/>
      <c r="I31" s="423"/>
      <c r="J31" s="449"/>
      <c r="K31" s="419"/>
      <c r="L31" s="421">
        <v>0</v>
      </c>
      <c r="M31" s="421">
        <v>0</v>
      </c>
      <c r="N31" s="421">
        <f t="shared" si="4"/>
        <v>0</v>
      </c>
      <c r="O31" s="419"/>
      <c r="P31" s="421">
        <v>0</v>
      </c>
      <c r="Q31" s="421">
        <v>0</v>
      </c>
      <c r="R31" s="421">
        <f t="shared" si="13"/>
        <v>0</v>
      </c>
      <c r="T31" s="457"/>
      <c r="AB31" s="464"/>
    </row>
    <row r="32" spans="1:28" ht="12.75" x14ac:dyDescent="0.2">
      <c r="A32" s="275">
        <v>23</v>
      </c>
      <c r="B32" s="573">
        <v>365309</v>
      </c>
      <c r="C32" s="573">
        <v>365309</v>
      </c>
      <c r="D32" s="421">
        <f t="shared" si="0"/>
        <v>30442.42</v>
      </c>
      <c r="E32" s="419"/>
      <c r="F32" s="421">
        <v>0</v>
      </c>
      <c r="G32" s="421">
        <v>0</v>
      </c>
      <c r="H32" s="423"/>
      <c r="I32" s="423"/>
      <c r="J32" s="449"/>
      <c r="K32" s="419"/>
      <c r="L32" s="421">
        <v>0</v>
      </c>
      <c r="M32" s="421">
        <v>0</v>
      </c>
      <c r="N32" s="421">
        <f t="shared" si="4"/>
        <v>0</v>
      </c>
      <c r="O32" s="419"/>
      <c r="P32" s="421">
        <v>0</v>
      </c>
      <c r="Q32" s="421">
        <v>0</v>
      </c>
      <c r="R32" s="421">
        <f t="shared" si="13"/>
        <v>0</v>
      </c>
      <c r="T32" s="457"/>
      <c r="AB32" s="464"/>
    </row>
    <row r="33" spans="1:28" ht="12.75" x14ac:dyDescent="0.2">
      <c r="A33" s="275">
        <v>24</v>
      </c>
      <c r="B33" s="573">
        <v>370394</v>
      </c>
      <c r="C33" s="573">
        <v>370394</v>
      </c>
      <c r="D33" s="421">
        <f t="shared" si="0"/>
        <v>30866.17</v>
      </c>
      <c r="E33" s="419"/>
      <c r="F33" s="421">
        <v>0</v>
      </c>
      <c r="G33" s="421">
        <v>0</v>
      </c>
      <c r="H33" s="423"/>
      <c r="I33" s="423"/>
      <c r="J33" s="449"/>
      <c r="K33" s="419"/>
      <c r="L33" s="421">
        <v>0</v>
      </c>
      <c r="M33" s="421">
        <v>0</v>
      </c>
      <c r="N33" s="421">
        <f t="shared" si="4"/>
        <v>0</v>
      </c>
      <c r="O33" s="419"/>
      <c r="P33" s="421">
        <v>0</v>
      </c>
      <c r="Q33" s="421">
        <v>0</v>
      </c>
      <c r="R33" s="421">
        <f t="shared" si="13"/>
        <v>0</v>
      </c>
      <c r="T33" s="457"/>
      <c r="AB33" s="464"/>
    </row>
    <row r="34" spans="1:28" ht="12.75" x14ac:dyDescent="0.2">
      <c r="A34" s="275">
        <v>25</v>
      </c>
      <c r="B34" s="574">
        <v>375560</v>
      </c>
      <c r="C34" s="574">
        <v>375560</v>
      </c>
      <c r="D34" s="421">
        <f t="shared" si="0"/>
        <v>31296.67</v>
      </c>
      <c r="E34" s="419"/>
      <c r="F34" s="421">
        <v>0</v>
      </c>
      <c r="G34" s="421">
        <v>0</v>
      </c>
      <c r="H34" s="423"/>
      <c r="I34" s="423"/>
      <c r="J34" s="449"/>
      <c r="K34" s="419"/>
      <c r="L34" s="421">
        <v>0</v>
      </c>
      <c r="M34" s="421">
        <v>0</v>
      </c>
      <c r="N34" s="421">
        <f t="shared" si="4"/>
        <v>0</v>
      </c>
      <c r="O34" s="419"/>
      <c r="P34" s="421">
        <v>0</v>
      </c>
      <c r="Q34" s="421">
        <v>0</v>
      </c>
      <c r="R34" s="421">
        <f t="shared" si="13"/>
        <v>0</v>
      </c>
      <c r="T34" s="458"/>
      <c r="AB34" s="465"/>
    </row>
    <row r="35" spans="1:28" ht="12.75" x14ac:dyDescent="0.2">
      <c r="A35" s="275">
        <v>26</v>
      </c>
      <c r="B35" s="573">
        <v>380819</v>
      </c>
      <c r="C35" s="573">
        <v>380819</v>
      </c>
      <c r="D35" s="421">
        <f t="shared" si="0"/>
        <v>31734.92</v>
      </c>
      <c r="E35" s="419"/>
      <c r="F35" s="421">
        <v>0</v>
      </c>
      <c r="G35" s="421">
        <v>0</v>
      </c>
      <c r="H35" s="423"/>
      <c r="I35" s="423"/>
      <c r="J35" s="449"/>
      <c r="K35" s="419"/>
      <c r="L35" s="421">
        <v>0</v>
      </c>
      <c r="M35" s="421">
        <v>0</v>
      </c>
      <c r="N35" s="421">
        <f t="shared" si="4"/>
        <v>0</v>
      </c>
      <c r="O35" s="419"/>
      <c r="P35" s="421">
        <v>0</v>
      </c>
      <c r="Q35" s="421">
        <v>0</v>
      </c>
      <c r="R35" s="421">
        <f t="shared" si="13"/>
        <v>0</v>
      </c>
      <c r="T35" s="457"/>
      <c r="AB35" s="464"/>
    </row>
    <row r="36" spans="1:28" ht="12.75" x14ac:dyDescent="0.2">
      <c r="A36" s="275">
        <v>27</v>
      </c>
      <c r="B36" s="573">
        <v>386166</v>
      </c>
      <c r="C36" s="573">
        <v>386166</v>
      </c>
      <c r="D36" s="421">
        <f t="shared" si="0"/>
        <v>32180.5</v>
      </c>
      <c r="E36" s="419"/>
      <c r="F36" s="421">
        <v>0</v>
      </c>
      <c r="G36" s="421">
        <v>0</v>
      </c>
      <c r="H36" s="423"/>
      <c r="I36" s="423"/>
      <c r="J36" s="449"/>
      <c r="K36" s="419"/>
      <c r="L36" s="421">
        <v>0</v>
      </c>
      <c r="M36" s="421">
        <v>0</v>
      </c>
      <c r="N36" s="421">
        <f t="shared" si="4"/>
        <v>0</v>
      </c>
      <c r="O36" s="419"/>
      <c r="P36" s="421">
        <v>0</v>
      </c>
      <c r="Q36" s="421">
        <v>0</v>
      </c>
      <c r="R36" s="421">
        <f t="shared" si="13"/>
        <v>0</v>
      </c>
      <c r="T36" s="457"/>
      <c r="AB36" s="464"/>
    </row>
    <row r="37" spans="1:28" ht="12.75" x14ac:dyDescent="0.2">
      <c r="A37" s="275">
        <v>28</v>
      </c>
      <c r="B37" s="573">
        <v>391603</v>
      </c>
      <c r="C37" s="573">
        <v>391603</v>
      </c>
      <c r="D37" s="421">
        <f t="shared" si="0"/>
        <v>32633.58</v>
      </c>
      <c r="E37" s="419"/>
      <c r="F37" s="421">
        <v>0</v>
      </c>
      <c r="G37" s="421">
        <v>0</v>
      </c>
      <c r="H37" s="423"/>
      <c r="I37" s="423"/>
      <c r="J37" s="449"/>
      <c r="K37" s="419"/>
      <c r="L37" s="421">
        <v>0</v>
      </c>
      <c r="M37" s="421">
        <v>0</v>
      </c>
      <c r="N37" s="421">
        <f t="shared" si="4"/>
        <v>0</v>
      </c>
      <c r="O37" s="419"/>
      <c r="P37" s="421">
        <v>0</v>
      </c>
      <c r="Q37" s="421">
        <v>0</v>
      </c>
      <c r="R37" s="421">
        <f t="shared" si="13"/>
        <v>0</v>
      </c>
      <c r="T37" s="457"/>
      <c r="AB37" s="464"/>
    </row>
    <row r="38" spans="1:28" ht="12.75" x14ac:dyDescent="0.2">
      <c r="A38" s="275">
        <v>29</v>
      </c>
      <c r="B38" s="573">
        <v>397133</v>
      </c>
      <c r="C38" s="573">
        <v>397133</v>
      </c>
      <c r="D38" s="421">
        <f t="shared" si="0"/>
        <v>33094.42</v>
      </c>
      <c r="E38" s="419"/>
      <c r="F38" s="421">
        <v>0</v>
      </c>
      <c r="G38" s="421">
        <v>0</v>
      </c>
      <c r="H38" s="423"/>
      <c r="I38" s="423"/>
      <c r="J38" s="449"/>
      <c r="K38" s="419"/>
      <c r="L38" s="421">
        <v>0</v>
      </c>
      <c r="M38" s="421">
        <v>0</v>
      </c>
      <c r="N38" s="421">
        <f t="shared" si="4"/>
        <v>0</v>
      </c>
      <c r="O38" s="419"/>
      <c r="P38" s="421">
        <v>0</v>
      </c>
      <c r="Q38" s="421">
        <v>0</v>
      </c>
      <c r="R38" s="421">
        <f t="shared" si="13"/>
        <v>0</v>
      </c>
      <c r="T38" s="457"/>
      <c r="AB38" s="464"/>
    </row>
    <row r="39" spans="1:28" ht="12.75" x14ac:dyDescent="0.2">
      <c r="A39" s="275">
        <v>30</v>
      </c>
      <c r="B39" s="574">
        <v>402748</v>
      </c>
      <c r="C39" s="574">
        <v>402748</v>
      </c>
      <c r="D39" s="421">
        <f t="shared" si="0"/>
        <v>33562.33</v>
      </c>
      <c r="E39" s="419"/>
      <c r="F39" s="421">
        <v>0</v>
      </c>
      <c r="G39" s="421">
        <v>0</v>
      </c>
      <c r="H39" s="423"/>
      <c r="I39" s="423"/>
      <c r="J39" s="449"/>
      <c r="K39" s="419"/>
      <c r="L39" s="421">
        <v>0</v>
      </c>
      <c r="M39" s="421">
        <v>0</v>
      </c>
      <c r="N39" s="421">
        <f t="shared" si="4"/>
        <v>0</v>
      </c>
      <c r="O39" s="419"/>
      <c r="P39" s="421">
        <v>0</v>
      </c>
      <c r="Q39" s="421">
        <v>0</v>
      </c>
      <c r="R39" s="421">
        <f t="shared" si="13"/>
        <v>0</v>
      </c>
      <c r="T39" s="458"/>
      <c r="AB39" s="465"/>
    </row>
    <row r="40" spans="1:28" ht="12.75" x14ac:dyDescent="0.2">
      <c r="A40" s="275">
        <v>31</v>
      </c>
      <c r="B40" s="573">
        <v>408462</v>
      </c>
      <c r="C40" s="573">
        <v>408462</v>
      </c>
      <c r="D40" s="421">
        <f t="shared" si="0"/>
        <v>34038.5</v>
      </c>
      <c r="E40" s="419"/>
      <c r="F40" s="421">
        <v>0</v>
      </c>
      <c r="G40" s="421">
        <v>0</v>
      </c>
      <c r="H40" s="423"/>
      <c r="I40" s="423"/>
      <c r="J40" s="449"/>
      <c r="K40" s="419"/>
      <c r="L40" s="421">
        <v>0</v>
      </c>
      <c r="M40" s="421">
        <v>0</v>
      </c>
      <c r="N40" s="421">
        <f t="shared" si="4"/>
        <v>0</v>
      </c>
      <c r="O40" s="419"/>
      <c r="P40" s="421">
        <v>0</v>
      </c>
      <c r="Q40" s="421">
        <v>0</v>
      </c>
      <c r="R40" s="421">
        <f t="shared" si="13"/>
        <v>0</v>
      </c>
      <c r="T40" s="457"/>
      <c r="AB40" s="463"/>
    </row>
    <row r="41" spans="1:28" ht="12.75" x14ac:dyDescent="0.2">
      <c r="A41" s="275">
        <v>32</v>
      </c>
      <c r="B41" s="573">
        <v>414265</v>
      </c>
      <c r="C41" s="573">
        <v>414265</v>
      </c>
      <c r="D41" s="421">
        <f t="shared" si="0"/>
        <v>34522.080000000002</v>
      </c>
      <c r="E41" s="419"/>
      <c r="F41" s="421">
        <v>0</v>
      </c>
      <c r="G41" s="421">
        <v>0</v>
      </c>
      <c r="H41" s="423"/>
      <c r="I41" s="423"/>
      <c r="J41" s="449"/>
      <c r="K41" s="419"/>
      <c r="L41" s="421">
        <v>0</v>
      </c>
      <c r="M41" s="421">
        <v>0</v>
      </c>
      <c r="N41" s="421">
        <f t="shared" si="4"/>
        <v>0</v>
      </c>
      <c r="O41" s="419"/>
      <c r="P41" s="421">
        <v>0</v>
      </c>
      <c r="Q41" s="421">
        <v>0</v>
      </c>
      <c r="R41" s="421">
        <f t="shared" si="13"/>
        <v>0</v>
      </c>
      <c r="T41" s="457"/>
      <c r="AB41" s="464"/>
    </row>
    <row r="42" spans="1:28" ht="12.75" x14ac:dyDescent="0.2">
      <c r="A42" s="275">
        <v>33</v>
      </c>
      <c r="B42" s="573">
        <v>420160</v>
      </c>
      <c r="C42" s="573">
        <v>420160</v>
      </c>
      <c r="D42" s="421">
        <f t="shared" ref="D42:D65" si="17">ROUND(C42/12,2)</f>
        <v>35013.33</v>
      </c>
      <c r="E42" s="419"/>
      <c r="F42" s="421">
        <v>0</v>
      </c>
      <c r="G42" s="421">
        <v>0</v>
      </c>
      <c r="H42" s="423"/>
      <c r="I42" s="423"/>
      <c r="J42" s="449"/>
      <c r="K42" s="419"/>
      <c r="L42" s="421">
        <v>0</v>
      </c>
      <c r="M42" s="421">
        <v>0</v>
      </c>
      <c r="N42" s="421">
        <f t="shared" si="4"/>
        <v>0</v>
      </c>
      <c r="O42" s="419"/>
      <c r="P42" s="421">
        <v>0</v>
      </c>
      <c r="Q42" s="421">
        <v>0</v>
      </c>
      <c r="R42" s="421">
        <f t="shared" si="13"/>
        <v>0</v>
      </c>
      <c r="T42" s="457"/>
      <c r="AB42" s="464"/>
    </row>
    <row r="43" spans="1:28" ht="12.75" x14ac:dyDescent="0.2">
      <c r="A43" s="275">
        <v>34</v>
      </c>
      <c r="B43" s="573">
        <v>426158</v>
      </c>
      <c r="C43" s="573">
        <v>426158</v>
      </c>
      <c r="D43" s="421">
        <f t="shared" si="17"/>
        <v>35513.17</v>
      </c>
      <c r="E43" s="419"/>
      <c r="F43" s="421">
        <v>0</v>
      </c>
      <c r="G43" s="421">
        <v>0</v>
      </c>
      <c r="H43" s="423"/>
      <c r="I43" s="423"/>
      <c r="J43" s="449"/>
      <c r="K43" s="419"/>
      <c r="L43" s="421">
        <v>0</v>
      </c>
      <c r="M43" s="421">
        <v>0</v>
      </c>
      <c r="N43" s="421">
        <f t="shared" si="4"/>
        <v>0</v>
      </c>
      <c r="O43" s="419"/>
      <c r="P43" s="421">
        <v>0</v>
      </c>
      <c r="Q43" s="421">
        <v>0</v>
      </c>
      <c r="R43" s="421">
        <f t="shared" si="13"/>
        <v>0</v>
      </c>
      <c r="T43" s="457"/>
      <c r="AB43" s="464"/>
    </row>
    <row r="44" spans="1:28" ht="12.75" x14ac:dyDescent="0.2">
      <c r="A44" s="275">
        <v>35</v>
      </c>
      <c r="B44" s="574">
        <v>432243</v>
      </c>
      <c r="C44" s="574">
        <v>432243</v>
      </c>
      <c r="D44" s="421">
        <f t="shared" si="17"/>
        <v>36020.25</v>
      </c>
      <c r="E44" s="419"/>
      <c r="F44" s="421">
        <v>0</v>
      </c>
      <c r="G44" s="421">
        <v>0</v>
      </c>
      <c r="H44" s="423"/>
      <c r="I44" s="423"/>
      <c r="J44" s="449"/>
      <c r="K44" s="419"/>
      <c r="L44" s="421">
        <v>0</v>
      </c>
      <c r="M44" s="421">
        <v>0</v>
      </c>
      <c r="N44" s="421">
        <f t="shared" si="4"/>
        <v>0</v>
      </c>
      <c r="O44" s="419"/>
      <c r="P44" s="421">
        <v>0</v>
      </c>
      <c r="Q44" s="421">
        <v>0</v>
      </c>
      <c r="R44" s="421">
        <f t="shared" si="13"/>
        <v>0</v>
      </c>
      <c r="T44" s="458"/>
      <c r="AB44" s="465"/>
    </row>
    <row r="45" spans="1:28" ht="12.75" x14ac:dyDescent="0.2">
      <c r="A45" s="275">
        <v>36</v>
      </c>
      <c r="B45" s="573">
        <v>438426</v>
      </c>
      <c r="C45" s="573">
        <v>438426</v>
      </c>
      <c r="D45" s="421">
        <f t="shared" si="17"/>
        <v>36535.5</v>
      </c>
      <c r="E45" s="419"/>
      <c r="F45" s="421">
        <v>0</v>
      </c>
      <c r="G45" s="421">
        <v>0</v>
      </c>
      <c r="H45" s="423"/>
      <c r="I45" s="423"/>
      <c r="J45" s="449"/>
      <c r="K45" s="419"/>
      <c r="L45" s="421">
        <v>0</v>
      </c>
      <c r="M45" s="421">
        <v>0</v>
      </c>
      <c r="N45" s="421">
        <f t="shared" si="4"/>
        <v>0</v>
      </c>
      <c r="O45" s="419"/>
      <c r="P45" s="421">
        <v>0</v>
      </c>
      <c r="Q45" s="421">
        <v>0</v>
      </c>
      <c r="R45" s="421">
        <f t="shared" si="13"/>
        <v>0</v>
      </c>
      <c r="T45" s="457"/>
      <c r="AB45" s="464"/>
    </row>
    <row r="46" spans="1:28" ht="12.75" x14ac:dyDescent="0.2">
      <c r="A46" s="275">
        <v>37</v>
      </c>
      <c r="B46" s="573">
        <v>444704</v>
      </c>
      <c r="C46" s="573">
        <v>444704</v>
      </c>
      <c r="D46" s="421">
        <f t="shared" si="17"/>
        <v>37058.67</v>
      </c>
      <c r="E46" s="419"/>
      <c r="F46" s="421">
        <v>0</v>
      </c>
      <c r="G46" s="421">
        <v>0</v>
      </c>
      <c r="H46" s="423"/>
      <c r="I46" s="423"/>
      <c r="J46" s="449"/>
      <c r="K46" s="419"/>
      <c r="L46" s="421">
        <v>0</v>
      </c>
      <c r="M46" s="421">
        <v>0</v>
      </c>
      <c r="N46" s="421">
        <f t="shared" si="4"/>
        <v>0</v>
      </c>
      <c r="O46" s="419"/>
      <c r="P46" s="421">
        <v>0</v>
      </c>
      <c r="Q46" s="421">
        <v>0</v>
      </c>
      <c r="R46" s="421">
        <f t="shared" si="13"/>
        <v>0</v>
      </c>
      <c r="T46" s="457"/>
      <c r="AB46" s="464"/>
    </row>
    <row r="47" spans="1:28" ht="12.75" x14ac:dyDescent="0.2">
      <c r="A47" s="275">
        <v>38</v>
      </c>
      <c r="B47" s="573">
        <v>451490</v>
      </c>
      <c r="C47" s="573">
        <v>451490</v>
      </c>
      <c r="D47" s="421">
        <f t="shared" si="17"/>
        <v>37624.17</v>
      </c>
      <c r="E47" s="419"/>
      <c r="F47" s="421">
        <v>0</v>
      </c>
      <c r="G47" s="421">
        <v>0</v>
      </c>
      <c r="H47" s="423"/>
      <c r="I47" s="423"/>
      <c r="J47" s="449"/>
      <c r="K47" s="419"/>
      <c r="L47" s="421">
        <v>0</v>
      </c>
      <c r="M47" s="421">
        <v>0</v>
      </c>
      <c r="N47" s="421">
        <f t="shared" si="4"/>
        <v>0</v>
      </c>
      <c r="O47" s="419"/>
      <c r="P47" s="421">
        <v>0</v>
      </c>
      <c r="Q47" s="421">
        <v>0</v>
      </c>
      <c r="R47" s="421">
        <f t="shared" si="13"/>
        <v>0</v>
      </c>
      <c r="T47" s="457"/>
      <c r="AB47" s="464"/>
    </row>
    <row r="48" spans="1:28" ht="12.75" x14ac:dyDescent="0.2">
      <c r="A48" s="275">
        <v>39</v>
      </c>
      <c r="B48" s="573">
        <v>458095</v>
      </c>
      <c r="C48" s="573">
        <v>458095</v>
      </c>
      <c r="D48" s="421">
        <f t="shared" si="17"/>
        <v>38174.58</v>
      </c>
      <c r="E48" s="419"/>
      <c r="F48" s="421">
        <v>0</v>
      </c>
      <c r="G48" s="421">
        <v>0</v>
      </c>
      <c r="H48" s="423"/>
      <c r="I48" s="423"/>
      <c r="J48" s="449"/>
      <c r="K48" s="419"/>
      <c r="L48" s="421">
        <v>0</v>
      </c>
      <c r="M48" s="421">
        <v>0</v>
      </c>
      <c r="N48" s="421">
        <f t="shared" si="4"/>
        <v>0</v>
      </c>
      <c r="O48" s="419"/>
      <c r="P48" s="421">
        <v>0</v>
      </c>
      <c r="Q48" s="421">
        <v>0</v>
      </c>
      <c r="R48" s="421">
        <f t="shared" si="13"/>
        <v>0</v>
      </c>
      <c r="T48" s="457"/>
      <c r="AB48" s="464"/>
    </row>
    <row r="49" spans="1:28" ht="12.75" x14ac:dyDescent="0.2">
      <c r="A49" s="275">
        <v>40</v>
      </c>
      <c r="B49" s="574">
        <v>464804</v>
      </c>
      <c r="C49" s="574">
        <v>464804</v>
      </c>
      <c r="D49" s="421">
        <f t="shared" si="17"/>
        <v>38733.67</v>
      </c>
      <c r="E49" s="419"/>
      <c r="F49" s="421">
        <v>0</v>
      </c>
      <c r="G49" s="421">
        <v>0</v>
      </c>
      <c r="H49" s="423"/>
      <c r="I49" s="423"/>
      <c r="J49" s="449"/>
      <c r="K49" s="419"/>
      <c r="L49" s="421">
        <v>0</v>
      </c>
      <c r="M49" s="421">
        <v>0</v>
      </c>
      <c r="N49" s="421">
        <f t="shared" si="4"/>
        <v>0</v>
      </c>
      <c r="O49" s="419"/>
      <c r="P49" s="421">
        <v>0</v>
      </c>
      <c r="Q49" s="421">
        <v>0</v>
      </c>
      <c r="R49" s="421">
        <f t="shared" si="13"/>
        <v>0</v>
      </c>
      <c r="T49" s="458"/>
      <c r="AB49" s="465"/>
    </row>
    <row r="50" spans="1:28" ht="12.75" x14ac:dyDescent="0.2">
      <c r="A50" s="275">
        <v>41</v>
      </c>
      <c r="B50" s="573">
        <v>471611</v>
      </c>
      <c r="C50" s="573">
        <v>471611</v>
      </c>
      <c r="D50" s="421">
        <f t="shared" si="17"/>
        <v>39300.92</v>
      </c>
      <c r="E50" s="419"/>
      <c r="F50" s="421">
        <v>0</v>
      </c>
      <c r="G50" s="421">
        <v>0</v>
      </c>
      <c r="H50" s="423"/>
      <c r="I50" s="423"/>
      <c r="J50" s="449"/>
      <c r="K50" s="419"/>
      <c r="L50" s="421">
        <v>0</v>
      </c>
      <c r="M50" s="421">
        <v>0</v>
      </c>
      <c r="N50" s="421">
        <f t="shared" si="4"/>
        <v>0</v>
      </c>
      <c r="O50" s="419"/>
      <c r="P50" s="421">
        <v>0</v>
      </c>
      <c r="Q50" s="421">
        <v>0</v>
      </c>
      <c r="R50" s="421">
        <f t="shared" si="13"/>
        <v>0</v>
      </c>
      <c r="T50" s="459"/>
      <c r="AB50" s="463"/>
    </row>
    <row r="51" spans="1:28" ht="12.75" x14ac:dyDescent="0.2">
      <c r="A51" s="275">
        <v>42</v>
      </c>
      <c r="B51" s="573">
        <v>478517</v>
      </c>
      <c r="C51" s="573">
        <v>478517</v>
      </c>
      <c r="D51" s="421">
        <f t="shared" si="17"/>
        <v>39876.42</v>
      </c>
      <c r="E51" s="419"/>
      <c r="F51" s="421">
        <v>0</v>
      </c>
      <c r="G51" s="421">
        <v>0</v>
      </c>
      <c r="H51" s="423"/>
      <c r="I51" s="423"/>
      <c r="J51" s="449"/>
      <c r="K51" s="419"/>
      <c r="L51" s="421">
        <v>0</v>
      </c>
      <c r="M51" s="421">
        <v>0</v>
      </c>
      <c r="N51" s="421">
        <f t="shared" si="4"/>
        <v>0</v>
      </c>
      <c r="O51" s="419"/>
      <c r="P51" s="421">
        <v>0</v>
      </c>
      <c r="Q51" s="421">
        <v>0</v>
      </c>
      <c r="R51" s="421">
        <f t="shared" si="13"/>
        <v>0</v>
      </c>
      <c r="T51" s="460"/>
      <c r="AB51" s="466"/>
    </row>
    <row r="52" spans="1:28" ht="12.75" x14ac:dyDescent="0.2">
      <c r="A52" s="275">
        <v>43</v>
      </c>
      <c r="B52" s="573">
        <v>489152</v>
      </c>
      <c r="C52" s="573">
        <v>489152</v>
      </c>
      <c r="D52" s="421">
        <f t="shared" si="17"/>
        <v>40762.67</v>
      </c>
      <c r="E52" s="419"/>
      <c r="F52" s="421">
        <v>0</v>
      </c>
      <c r="G52" s="421">
        <v>0</v>
      </c>
      <c r="H52" s="423"/>
      <c r="I52" s="423"/>
      <c r="J52" s="449"/>
      <c r="K52" s="419"/>
      <c r="L52" s="421">
        <v>0</v>
      </c>
      <c r="M52" s="421">
        <v>0</v>
      </c>
      <c r="N52" s="421">
        <f t="shared" si="4"/>
        <v>0</v>
      </c>
      <c r="O52" s="419"/>
      <c r="P52" s="421">
        <v>0</v>
      </c>
      <c r="Q52" s="421">
        <v>0</v>
      </c>
      <c r="R52" s="421">
        <f t="shared" si="13"/>
        <v>0</v>
      </c>
      <c r="T52" s="460"/>
      <c r="AB52" s="466"/>
    </row>
    <row r="53" spans="1:28" ht="12.75" x14ac:dyDescent="0.2">
      <c r="A53" s="275">
        <v>44</v>
      </c>
      <c r="B53" s="573">
        <v>500081</v>
      </c>
      <c r="C53" s="573">
        <v>500081</v>
      </c>
      <c r="D53" s="421">
        <f t="shared" si="17"/>
        <v>41673.42</v>
      </c>
      <c r="E53" s="419"/>
      <c r="F53" s="421">
        <v>0</v>
      </c>
      <c r="G53" s="421">
        <v>0</v>
      </c>
      <c r="H53" s="423"/>
      <c r="I53" s="423"/>
      <c r="J53" s="449"/>
      <c r="K53" s="419"/>
      <c r="L53" s="421">
        <v>0</v>
      </c>
      <c r="M53" s="421">
        <v>0</v>
      </c>
      <c r="N53" s="421">
        <f t="shared" si="4"/>
        <v>0</v>
      </c>
      <c r="O53" s="419"/>
      <c r="P53" s="421">
        <v>0</v>
      </c>
      <c r="Q53" s="421">
        <v>0</v>
      </c>
      <c r="R53" s="421">
        <f t="shared" si="13"/>
        <v>0</v>
      </c>
      <c r="T53" s="460"/>
      <c r="AB53" s="466"/>
    </row>
    <row r="54" spans="1:28" ht="12.75" x14ac:dyDescent="0.2">
      <c r="A54" s="275">
        <v>45</v>
      </c>
      <c r="B54" s="574">
        <v>511309</v>
      </c>
      <c r="C54" s="574">
        <v>511309</v>
      </c>
      <c r="D54" s="421">
        <f t="shared" si="17"/>
        <v>42609.08</v>
      </c>
      <c r="E54" s="419"/>
      <c r="F54" s="421">
        <v>0</v>
      </c>
      <c r="G54" s="421">
        <v>0</v>
      </c>
      <c r="H54" s="423"/>
      <c r="I54" s="423"/>
      <c r="J54" s="449"/>
      <c r="K54" s="419"/>
      <c r="L54" s="421">
        <v>0</v>
      </c>
      <c r="M54" s="421">
        <v>0</v>
      </c>
      <c r="N54" s="421">
        <f t="shared" si="4"/>
        <v>0</v>
      </c>
      <c r="O54" s="419"/>
      <c r="P54" s="421">
        <v>0</v>
      </c>
      <c r="Q54" s="421">
        <v>0</v>
      </c>
      <c r="R54" s="421">
        <f t="shared" si="13"/>
        <v>0</v>
      </c>
      <c r="T54" s="461"/>
      <c r="AB54" s="467"/>
    </row>
    <row r="55" spans="1:28" ht="12.75" x14ac:dyDescent="0.2">
      <c r="A55" s="275">
        <v>46</v>
      </c>
      <c r="B55" s="573">
        <v>522846</v>
      </c>
      <c r="C55" s="573">
        <v>522846</v>
      </c>
      <c r="D55" s="421">
        <f t="shared" si="17"/>
        <v>43570.5</v>
      </c>
      <c r="E55" s="419"/>
      <c r="F55" s="421">
        <v>0</v>
      </c>
      <c r="G55" s="421">
        <v>0</v>
      </c>
      <c r="H55" s="423"/>
      <c r="I55" s="423"/>
      <c r="J55" s="449"/>
      <c r="K55" s="419"/>
      <c r="L55" s="421">
        <v>0</v>
      </c>
      <c r="M55" s="421">
        <v>0</v>
      </c>
      <c r="N55" s="421">
        <f t="shared" si="4"/>
        <v>0</v>
      </c>
      <c r="O55" s="419"/>
      <c r="P55" s="421">
        <v>0</v>
      </c>
      <c r="Q55" s="421">
        <v>0</v>
      </c>
      <c r="R55" s="421">
        <f t="shared" si="13"/>
        <v>0</v>
      </c>
      <c r="T55" s="460"/>
      <c r="AB55" s="466"/>
    </row>
    <row r="56" spans="1:28" ht="12.75" x14ac:dyDescent="0.2">
      <c r="A56" s="275">
        <v>47</v>
      </c>
      <c r="B56" s="573">
        <v>532153</v>
      </c>
      <c r="C56" s="573">
        <v>532153</v>
      </c>
      <c r="D56" s="421">
        <f t="shared" si="17"/>
        <v>44346.080000000002</v>
      </c>
      <c r="E56" s="419"/>
      <c r="F56" s="421">
        <v>0</v>
      </c>
      <c r="G56" s="421">
        <v>0</v>
      </c>
      <c r="H56" s="423"/>
      <c r="I56" s="423"/>
      <c r="J56" s="449"/>
      <c r="K56" s="419"/>
      <c r="L56" s="421">
        <v>0</v>
      </c>
      <c r="M56" s="421">
        <v>0</v>
      </c>
      <c r="N56" s="421">
        <f t="shared" si="4"/>
        <v>0</v>
      </c>
      <c r="O56" s="419"/>
      <c r="P56" s="421">
        <v>0</v>
      </c>
      <c r="Q56" s="421">
        <v>0</v>
      </c>
      <c r="R56" s="421">
        <f t="shared" si="13"/>
        <v>0</v>
      </c>
      <c r="T56" s="460"/>
      <c r="AB56" s="466"/>
    </row>
    <row r="57" spans="1:28" ht="12.75" x14ac:dyDescent="0.2">
      <c r="A57" s="275">
        <v>48</v>
      </c>
      <c r="B57" s="573">
        <v>556615</v>
      </c>
      <c r="C57" s="573">
        <v>556615</v>
      </c>
      <c r="D57" s="421">
        <f t="shared" si="17"/>
        <v>46384.58</v>
      </c>
      <c r="E57" s="419"/>
      <c r="F57" s="421">
        <v>0</v>
      </c>
      <c r="G57" s="421">
        <v>0</v>
      </c>
      <c r="H57" s="423"/>
      <c r="I57" s="423"/>
      <c r="J57" s="449"/>
      <c r="K57" s="419"/>
      <c r="L57" s="421">
        <v>0</v>
      </c>
      <c r="M57" s="421">
        <v>0</v>
      </c>
      <c r="N57" s="421">
        <f t="shared" si="4"/>
        <v>0</v>
      </c>
      <c r="O57" s="419"/>
      <c r="P57" s="421">
        <v>0</v>
      </c>
      <c r="Q57" s="421">
        <v>0</v>
      </c>
      <c r="R57" s="421">
        <f t="shared" si="13"/>
        <v>0</v>
      </c>
      <c r="T57" s="460"/>
      <c r="AB57" s="466"/>
    </row>
    <row r="58" spans="1:28" ht="12.75" x14ac:dyDescent="0.2">
      <c r="A58" s="275">
        <v>49</v>
      </c>
      <c r="B58" s="573">
        <v>593969</v>
      </c>
      <c r="C58" s="573">
        <v>593969</v>
      </c>
      <c r="D58" s="421">
        <f t="shared" si="17"/>
        <v>49497.42</v>
      </c>
      <c r="E58" s="419"/>
      <c r="F58" s="421">
        <v>0</v>
      </c>
      <c r="G58" s="421">
        <v>0</v>
      </c>
      <c r="H58" s="423"/>
      <c r="I58" s="423"/>
      <c r="J58" s="449"/>
      <c r="K58" s="419"/>
      <c r="L58" s="421">
        <v>0</v>
      </c>
      <c r="M58" s="421">
        <v>0</v>
      </c>
      <c r="N58" s="421">
        <f t="shared" si="4"/>
        <v>0</v>
      </c>
      <c r="O58" s="419"/>
      <c r="P58" s="421">
        <v>0</v>
      </c>
      <c r="Q58" s="421">
        <v>0</v>
      </c>
      <c r="R58" s="421">
        <f t="shared" si="13"/>
        <v>0</v>
      </c>
      <c r="T58" s="460"/>
      <c r="AB58" s="466"/>
    </row>
    <row r="59" spans="1:28" ht="12.75" x14ac:dyDescent="0.2">
      <c r="A59" s="275">
        <v>50</v>
      </c>
      <c r="B59" s="563">
        <v>650421</v>
      </c>
      <c r="C59" s="574">
        <v>635433</v>
      </c>
      <c r="D59" s="421">
        <f t="shared" si="17"/>
        <v>52952.75</v>
      </c>
      <c r="E59" s="419"/>
      <c r="F59" s="421">
        <v>0</v>
      </c>
      <c r="G59" s="421">
        <v>0</v>
      </c>
      <c r="H59" s="423"/>
      <c r="I59" s="423"/>
      <c r="J59" s="449"/>
      <c r="K59" s="419"/>
      <c r="L59" s="421">
        <v>0</v>
      </c>
      <c r="M59" s="421">
        <v>0</v>
      </c>
      <c r="N59" s="421">
        <f t="shared" si="4"/>
        <v>0</v>
      </c>
      <c r="O59" s="419"/>
      <c r="P59" s="421">
        <v>0</v>
      </c>
      <c r="Q59" s="421">
        <v>0</v>
      </c>
      <c r="R59" s="421">
        <f t="shared" si="13"/>
        <v>0</v>
      </c>
      <c r="T59" s="461"/>
      <c r="AB59" s="467"/>
    </row>
    <row r="60" spans="1:28" ht="12.75" x14ac:dyDescent="0.2">
      <c r="A60" s="275">
        <v>51</v>
      </c>
      <c r="B60" s="561">
        <v>720775</v>
      </c>
      <c r="C60" s="573">
        <v>701882</v>
      </c>
      <c r="D60" s="421">
        <f t="shared" si="17"/>
        <v>58490.17</v>
      </c>
      <c r="E60" s="419"/>
      <c r="F60" s="421">
        <v>0</v>
      </c>
      <c r="G60" s="421">
        <v>0</v>
      </c>
      <c r="H60" s="423"/>
      <c r="I60" s="423"/>
      <c r="J60" s="449"/>
      <c r="K60" s="419"/>
      <c r="L60" s="421">
        <v>0</v>
      </c>
      <c r="M60" s="421">
        <v>0</v>
      </c>
      <c r="N60" s="421">
        <f t="shared" si="4"/>
        <v>0</v>
      </c>
      <c r="O60" s="419"/>
      <c r="P60" s="421">
        <v>0</v>
      </c>
      <c r="Q60" s="421">
        <v>0</v>
      </c>
      <c r="R60" s="421">
        <f t="shared" si="13"/>
        <v>0</v>
      </c>
      <c r="T60" s="460"/>
      <c r="AB60" s="466"/>
    </row>
    <row r="61" spans="1:28" ht="12.75" x14ac:dyDescent="0.2">
      <c r="A61" s="275">
        <v>52</v>
      </c>
      <c r="B61" s="561">
        <v>820887</v>
      </c>
      <c r="C61" s="573">
        <v>798654</v>
      </c>
      <c r="D61" s="421">
        <f t="shared" si="17"/>
        <v>66554.5</v>
      </c>
      <c r="E61" s="419"/>
      <c r="F61" s="421">
        <v>0</v>
      </c>
      <c r="G61" s="421">
        <v>0</v>
      </c>
      <c r="H61" s="423"/>
      <c r="I61" s="423"/>
      <c r="J61" s="449"/>
      <c r="K61" s="419"/>
      <c r="L61" s="421">
        <v>0</v>
      </c>
      <c r="M61" s="421">
        <v>0</v>
      </c>
      <c r="N61" s="421">
        <f t="shared" si="4"/>
        <v>0</v>
      </c>
      <c r="O61" s="419"/>
      <c r="P61" s="421">
        <v>0</v>
      </c>
      <c r="Q61" s="421">
        <v>0</v>
      </c>
      <c r="R61" s="421">
        <f t="shared" si="13"/>
        <v>0</v>
      </c>
      <c r="T61" s="460"/>
      <c r="AB61" s="466"/>
    </row>
    <row r="62" spans="1:28" ht="12.75" x14ac:dyDescent="0.2">
      <c r="A62" s="275">
        <v>53</v>
      </c>
      <c r="B62" s="561">
        <v>913784</v>
      </c>
      <c r="C62" s="573">
        <v>876892</v>
      </c>
      <c r="D62" s="421">
        <f t="shared" si="17"/>
        <v>73074.33</v>
      </c>
      <c r="E62" s="419"/>
      <c r="F62" s="421">
        <v>0</v>
      </c>
      <c r="G62" s="421">
        <v>0</v>
      </c>
      <c r="H62" s="423"/>
      <c r="I62" s="423"/>
      <c r="J62" s="449"/>
      <c r="K62" s="419"/>
      <c r="L62" s="421">
        <v>0</v>
      </c>
      <c r="M62" s="421">
        <v>0</v>
      </c>
      <c r="N62" s="421">
        <f t="shared" si="4"/>
        <v>0</v>
      </c>
      <c r="O62" s="419"/>
      <c r="P62" s="421">
        <v>0</v>
      </c>
      <c r="Q62" s="421">
        <v>0</v>
      </c>
      <c r="R62" s="421">
        <f t="shared" si="13"/>
        <v>0</v>
      </c>
      <c r="T62" s="460"/>
      <c r="AB62" s="466"/>
    </row>
    <row r="63" spans="1:28" ht="12.75" x14ac:dyDescent="0.2">
      <c r="A63" s="275">
        <v>54</v>
      </c>
      <c r="B63" s="561">
        <v>1029565</v>
      </c>
      <c r="C63" s="573">
        <v>981196</v>
      </c>
      <c r="D63" s="421">
        <f t="shared" si="17"/>
        <v>81766.33</v>
      </c>
      <c r="E63" s="419"/>
      <c r="F63" s="421">
        <v>0</v>
      </c>
      <c r="G63" s="421">
        <v>0</v>
      </c>
      <c r="H63" s="423"/>
      <c r="I63" s="423"/>
      <c r="J63" s="449"/>
      <c r="K63" s="419"/>
      <c r="L63" s="421">
        <v>0</v>
      </c>
      <c r="M63" s="421">
        <v>0</v>
      </c>
      <c r="N63" s="421">
        <f t="shared" si="4"/>
        <v>0</v>
      </c>
      <c r="O63" s="419"/>
      <c r="P63" s="421">
        <v>0</v>
      </c>
      <c r="Q63" s="421">
        <v>0</v>
      </c>
      <c r="R63" s="421">
        <f t="shared" si="13"/>
        <v>0</v>
      </c>
      <c r="T63" s="460"/>
      <c r="AB63" s="466"/>
    </row>
    <row r="64" spans="1:28" ht="12.75" x14ac:dyDescent="0.2">
      <c r="A64" s="275">
        <v>55</v>
      </c>
      <c r="B64" s="561">
        <v>1154939</v>
      </c>
      <c r="C64" s="573">
        <v>1106570</v>
      </c>
      <c r="D64" s="421">
        <f t="shared" si="17"/>
        <v>92214.17</v>
      </c>
      <c r="E64" s="419"/>
      <c r="F64" s="421">
        <v>0</v>
      </c>
      <c r="G64" s="421">
        <v>0</v>
      </c>
      <c r="H64" s="423"/>
      <c r="I64" s="423"/>
      <c r="J64" s="449"/>
      <c r="K64" s="419"/>
      <c r="L64" s="421">
        <v>0</v>
      </c>
      <c r="M64" s="421">
        <v>0</v>
      </c>
      <c r="N64" s="421">
        <f t="shared" si="4"/>
        <v>0</v>
      </c>
      <c r="O64" s="419"/>
      <c r="P64" s="421">
        <v>0</v>
      </c>
      <c r="Q64" s="421">
        <v>0</v>
      </c>
      <c r="R64" s="421">
        <f t="shared" si="13"/>
        <v>0</v>
      </c>
      <c r="T64" s="461"/>
      <c r="AB64" s="467"/>
    </row>
    <row r="65" spans="1:28" ht="13.5" thickBot="1" x14ac:dyDescent="0.25">
      <c r="A65" s="275">
        <v>56</v>
      </c>
      <c r="B65" s="562">
        <v>1295531</v>
      </c>
      <c r="C65" s="575">
        <v>1247158</v>
      </c>
      <c r="D65" s="421">
        <f t="shared" si="17"/>
        <v>103929.83</v>
      </c>
      <c r="E65" s="419"/>
      <c r="F65" s="421">
        <v>0</v>
      </c>
      <c r="G65" s="421">
        <v>0</v>
      </c>
      <c r="H65" s="423"/>
      <c r="I65" s="423"/>
      <c r="J65" s="449"/>
      <c r="K65" s="419"/>
      <c r="L65" s="421">
        <v>0</v>
      </c>
      <c r="M65" s="421">
        <v>0</v>
      </c>
      <c r="N65" s="421">
        <f t="shared" si="4"/>
        <v>0</v>
      </c>
      <c r="O65" s="419"/>
      <c r="P65" s="421">
        <v>0</v>
      </c>
      <c r="Q65" s="421">
        <v>0</v>
      </c>
      <c r="R65" s="421">
        <f t="shared" si="13"/>
        <v>0</v>
      </c>
      <c r="T65" s="462"/>
      <c r="AB65" s="468"/>
    </row>
    <row r="66" spans="1:28" ht="12.75" x14ac:dyDescent="0.2">
      <c r="A66" s="275">
        <v>57</v>
      </c>
      <c r="B66" s="447"/>
      <c r="C66" s="447"/>
      <c r="D66" s="421"/>
      <c r="E66" s="419"/>
      <c r="F66" s="421"/>
      <c r="G66" s="421"/>
      <c r="H66" s="419"/>
      <c r="I66" s="421"/>
      <c r="J66" s="421"/>
      <c r="K66" s="419"/>
      <c r="L66" s="421"/>
      <c r="M66" s="421"/>
      <c r="N66" s="421"/>
      <c r="O66" s="419"/>
      <c r="P66" s="421"/>
      <c r="Q66" s="421"/>
      <c r="R66" s="421"/>
      <c r="T66" s="274" t="s">
        <v>788</v>
      </c>
    </row>
    <row r="67" spans="1:28" ht="12.75" x14ac:dyDescent="0.2">
      <c r="A67" s="275">
        <v>58</v>
      </c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</row>
    <row r="68" spans="1:28" ht="12.75" x14ac:dyDescent="0.2">
      <c r="A68" s="275">
        <v>59</v>
      </c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</row>
    <row r="69" spans="1:28" ht="12.75" x14ac:dyDescent="0.2">
      <c r="A69" s="275">
        <v>60</v>
      </c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</row>
    <row r="70" spans="1:28" x14ac:dyDescent="0.2">
      <c r="A70" s="275">
        <v>61</v>
      </c>
    </row>
    <row r="71" spans="1:28" x14ac:dyDescent="0.2">
      <c r="A71" s="275">
        <v>62</v>
      </c>
    </row>
    <row r="72" spans="1:28" x14ac:dyDescent="0.2">
      <c r="A72" s="275">
        <v>63</v>
      </c>
    </row>
    <row r="73" spans="1:28" x14ac:dyDescent="0.2">
      <c r="A73" s="275">
        <v>64</v>
      </c>
    </row>
    <row r="74" spans="1:28" x14ac:dyDescent="0.2">
      <c r="A74" s="275">
        <v>65</v>
      </c>
    </row>
    <row r="75" spans="1:28" x14ac:dyDescent="0.2">
      <c r="A75" s="275">
        <v>66</v>
      </c>
    </row>
    <row r="76" spans="1:28" x14ac:dyDescent="0.2">
      <c r="A76" s="275">
        <v>67</v>
      </c>
    </row>
    <row r="77" spans="1:28" x14ac:dyDescent="0.2">
      <c r="A77" s="275">
        <v>68</v>
      </c>
    </row>
    <row r="78" spans="1:28" x14ac:dyDescent="0.2">
      <c r="A78" s="275">
        <v>69</v>
      </c>
    </row>
    <row r="79" spans="1:28" x14ac:dyDescent="0.2">
      <c r="A79" s="275">
        <v>70</v>
      </c>
    </row>
    <row r="80" spans="1:28" x14ac:dyDescent="0.2">
      <c r="A80" s="275">
        <v>71</v>
      </c>
    </row>
    <row r="81" spans="1:1" x14ac:dyDescent="0.2">
      <c r="A81" s="275">
        <v>72</v>
      </c>
    </row>
    <row r="82" spans="1:1" x14ac:dyDescent="0.2">
      <c r="A82" s="275">
        <v>73</v>
      </c>
    </row>
    <row r="83" spans="1:1" x14ac:dyDescent="0.2">
      <c r="A83" s="275">
        <v>74</v>
      </c>
    </row>
    <row r="84" spans="1:1" x14ac:dyDescent="0.2">
      <c r="A84" s="275">
        <v>75</v>
      </c>
    </row>
    <row r="85" spans="1:1" x14ac:dyDescent="0.2">
      <c r="A85" s="275">
        <v>76</v>
      </c>
    </row>
    <row r="86" spans="1:1" x14ac:dyDescent="0.2">
      <c r="A86" s="275">
        <v>77</v>
      </c>
    </row>
    <row r="87" spans="1:1" x14ac:dyDescent="0.2">
      <c r="A87" s="275">
        <v>78</v>
      </c>
    </row>
    <row r="88" spans="1:1" x14ac:dyDescent="0.2">
      <c r="A88" s="275">
        <v>79</v>
      </c>
    </row>
    <row r="89" spans="1:1" x14ac:dyDescent="0.2">
      <c r="A89" s="275">
        <v>80</v>
      </c>
    </row>
    <row r="90" spans="1:1" x14ac:dyDescent="0.2">
      <c r="A90" s="275">
        <v>81</v>
      </c>
    </row>
    <row r="91" spans="1:1" x14ac:dyDescent="0.2">
      <c r="A91" s="275">
        <v>82</v>
      </c>
    </row>
    <row r="92" spans="1:1" x14ac:dyDescent="0.2">
      <c r="A92" s="275">
        <v>83</v>
      </c>
    </row>
    <row r="93" spans="1:1" x14ac:dyDescent="0.2">
      <c r="A93" s="275">
        <v>84</v>
      </c>
    </row>
    <row r="94" spans="1:1" x14ac:dyDescent="0.2">
      <c r="A94" s="275">
        <v>85</v>
      </c>
    </row>
    <row r="95" spans="1:1" x14ac:dyDescent="0.2">
      <c r="A95" s="275">
        <v>86</v>
      </c>
    </row>
    <row r="96" spans="1:1" x14ac:dyDescent="0.2">
      <c r="A96" s="275">
        <v>87</v>
      </c>
    </row>
    <row r="97" spans="1:5" x14ac:dyDescent="0.2">
      <c r="A97" s="275">
        <v>88</v>
      </c>
    </row>
    <row r="98" spans="1:5" x14ac:dyDescent="0.2">
      <c r="A98" s="275">
        <v>89</v>
      </c>
    </row>
    <row r="99" spans="1:5" x14ac:dyDescent="0.2">
      <c r="A99" s="275">
        <v>90</v>
      </c>
    </row>
    <row r="100" spans="1:5" x14ac:dyDescent="0.2">
      <c r="A100" s="275">
        <v>91</v>
      </c>
    </row>
    <row r="101" spans="1:5" x14ac:dyDescent="0.2">
      <c r="A101" s="275">
        <v>92</v>
      </c>
    </row>
    <row r="102" spans="1:5" x14ac:dyDescent="0.2">
      <c r="A102" s="275">
        <v>93</v>
      </c>
    </row>
    <row r="103" spans="1:5" x14ac:dyDescent="0.2">
      <c r="A103" s="275">
        <v>94</v>
      </c>
    </row>
    <row r="104" spans="1:5" x14ac:dyDescent="0.2">
      <c r="A104" s="275">
        <v>95</v>
      </c>
    </row>
    <row r="105" spans="1:5" x14ac:dyDescent="0.2">
      <c r="A105" s="275">
        <v>96</v>
      </c>
    </row>
    <row r="106" spans="1:5" x14ac:dyDescent="0.2">
      <c r="A106" s="275">
        <v>97</v>
      </c>
    </row>
    <row r="107" spans="1:5" x14ac:dyDescent="0.2">
      <c r="A107" s="275">
        <v>98</v>
      </c>
    </row>
    <row r="108" spans="1:5" x14ac:dyDescent="0.2">
      <c r="A108" s="275">
        <v>99</v>
      </c>
    </row>
    <row r="109" spans="1:5" ht="12.75" x14ac:dyDescent="0.2">
      <c r="A109" s="275">
        <v>100</v>
      </c>
      <c r="D109" s="421"/>
      <c r="E109" s="421"/>
    </row>
    <row r="110" spans="1:5" x14ac:dyDescent="0.2">
      <c r="A110" s="275">
        <v>101</v>
      </c>
    </row>
    <row r="111" spans="1:5" x14ac:dyDescent="0.2">
      <c r="A111" s="275">
        <v>102</v>
      </c>
    </row>
    <row r="112" spans="1:5" x14ac:dyDescent="0.2">
      <c r="A112" s="275">
        <v>103</v>
      </c>
    </row>
    <row r="113" spans="1:1" x14ac:dyDescent="0.2">
      <c r="A113" s="275">
        <v>104</v>
      </c>
    </row>
    <row r="114" spans="1:1" x14ac:dyDescent="0.2">
      <c r="A114" s="275">
        <v>105</v>
      </c>
    </row>
    <row r="115" spans="1:1" x14ac:dyDescent="0.2">
      <c r="A115" s="275">
        <v>106</v>
      </c>
    </row>
    <row r="116" spans="1:1" x14ac:dyDescent="0.2">
      <c r="A116" s="275">
        <v>107</v>
      </c>
    </row>
    <row r="117" spans="1:1" x14ac:dyDescent="0.2">
      <c r="A117" s="275">
        <v>108</v>
      </c>
    </row>
    <row r="118" spans="1:1" x14ac:dyDescent="0.2">
      <c r="A118" s="275">
        <v>109</v>
      </c>
    </row>
    <row r="119" spans="1:1" x14ac:dyDescent="0.2">
      <c r="A119" s="275">
        <v>110</v>
      </c>
    </row>
    <row r="120" spans="1:1" x14ac:dyDescent="0.2">
      <c r="A120" s="275">
        <v>111</v>
      </c>
    </row>
    <row r="121" spans="1:1" x14ac:dyDescent="0.2">
      <c r="A121" s="275">
        <v>112</v>
      </c>
    </row>
    <row r="122" spans="1:1" x14ac:dyDescent="0.2">
      <c r="A122" s="275">
        <v>113</v>
      </c>
    </row>
    <row r="123" spans="1:1" x14ac:dyDescent="0.2">
      <c r="A123" s="275">
        <v>114</v>
      </c>
    </row>
    <row r="124" spans="1:1" x14ac:dyDescent="0.2">
      <c r="A124" s="275">
        <v>115</v>
      </c>
    </row>
    <row r="125" spans="1:1" x14ac:dyDescent="0.2">
      <c r="A125" s="275">
        <v>116</v>
      </c>
    </row>
    <row r="126" spans="1:1" x14ac:dyDescent="0.2">
      <c r="A126" s="275">
        <v>117</v>
      </c>
    </row>
    <row r="127" spans="1:1" x14ac:dyDescent="0.2">
      <c r="A127" s="275">
        <v>118</v>
      </c>
    </row>
    <row r="128" spans="1:1" x14ac:dyDescent="0.2">
      <c r="A128" s="275">
        <v>119</v>
      </c>
    </row>
    <row r="129" spans="1:1" x14ac:dyDescent="0.2">
      <c r="A129" s="275">
        <v>120</v>
      </c>
    </row>
    <row r="130" spans="1:1" x14ac:dyDescent="0.2">
      <c r="A130" s="275">
        <v>121</v>
      </c>
    </row>
    <row r="131" spans="1:1" x14ac:dyDescent="0.2">
      <c r="A131" s="275">
        <v>122</v>
      </c>
    </row>
    <row r="132" spans="1:1" x14ac:dyDescent="0.2">
      <c r="A132" s="275">
        <v>123</v>
      </c>
    </row>
    <row r="133" spans="1:1" x14ac:dyDescent="0.2">
      <c r="A133" s="275">
        <v>124</v>
      </c>
    </row>
    <row r="134" spans="1:1" x14ac:dyDescent="0.2">
      <c r="A134" s="275">
        <v>125</v>
      </c>
    </row>
    <row r="135" spans="1:1" x14ac:dyDescent="0.2">
      <c r="A135" s="275">
        <v>126</v>
      </c>
    </row>
    <row r="136" spans="1:1" x14ac:dyDescent="0.2">
      <c r="A136" s="275">
        <v>127</v>
      </c>
    </row>
    <row r="137" spans="1:1" x14ac:dyDescent="0.2">
      <c r="A137" s="275">
        <v>128</v>
      </c>
    </row>
    <row r="138" spans="1:1" x14ac:dyDescent="0.2">
      <c r="A138" s="275">
        <v>129</v>
      </c>
    </row>
    <row r="139" spans="1:1" x14ac:dyDescent="0.2">
      <c r="A139" s="275">
        <v>130</v>
      </c>
    </row>
    <row r="140" spans="1:1" x14ac:dyDescent="0.2">
      <c r="A140" s="275">
        <v>131</v>
      </c>
    </row>
    <row r="141" spans="1:1" x14ac:dyDescent="0.2">
      <c r="A141" s="275">
        <v>132</v>
      </c>
    </row>
    <row r="142" spans="1:1" x14ac:dyDescent="0.2">
      <c r="A142" s="275">
        <v>133</v>
      </c>
    </row>
    <row r="143" spans="1:1" x14ac:dyDescent="0.2">
      <c r="A143" s="275">
        <v>134</v>
      </c>
    </row>
    <row r="144" spans="1:1" x14ac:dyDescent="0.2">
      <c r="A144" s="275">
        <v>135</v>
      </c>
    </row>
    <row r="145" spans="1:1" x14ac:dyDescent="0.2">
      <c r="A145" s="275">
        <v>136</v>
      </c>
    </row>
    <row r="146" spans="1:1" x14ac:dyDescent="0.2">
      <c r="A146" s="275">
        <v>137</v>
      </c>
    </row>
    <row r="147" spans="1:1" x14ac:dyDescent="0.2">
      <c r="A147" s="275">
        <v>138</v>
      </c>
    </row>
    <row r="148" spans="1:1" x14ac:dyDescent="0.2">
      <c r="A148" s="275">
        <v>139</v>
      </c>
    </row>
    <row r="149" spans="1:1" x14ac:dyDescent="0.2">
      <c r="A149" s="275">
        <v>140</v>
      </c>
    </row>
    <row r="150" spans="1:1" x14ac:dyDescent="0.2">
      <c r="A150" s="275">
        <v>141</v>
      </c>
    </row>
    <row r="151" spans="1:1" x14ac:dyDescent="0.2">
      <c r="A151" s="275">
        <v>142</v>
      </c>
    </row>
    <row r="152" spans="1:1" x14ac:dyDescent="0.2">
      <c r="A152" s="275">
        <v>143</v>
      </c>
    </row>
    <row r="153" spans="1:1" x14ac:dyDescent="0.2">
      <c r="A153" s="275">
        <v>144</v>
      </c>
    </row>
    <row r="154" spans="1:1" x14ac:dyDescent="0.2">
      <c r="A154" s="275">
        <v>145</v>
      </c>
    </row>
    <row r="155" spans="1:1" x14ac:dyDescent="0.2">
      <c r="A155" s="275">
        <v>146</v>
      </c>
    </row>
    <row r="156" spans="1:1" x14ac:dyDescent="0.2">
      <c r="A156" s="275">
        <v>147</v>
      </c>
    </row>
    <row r="157" spans="1:1" x14ac:dyDescent="0.2">
      <c r="A157" s="275">
        <v>148</v>
      </c>
    </row>
    <row r="158" spans="1:1" x14ac:dyDescent="0.2">
      <c r="A158" s="275">
        <v>149</v>
      </c>
    </row>
    <row r="159" spans="1:1" x14ac:dyDescent="0.2">
      <c r="A159" s="275">
        <v>150</v>
      </c>
    </row>
    <row r="160" spans="1:1" x14ac:dyDescent="0.2">
      <c r="A160" s="275">
        <v>151</v>
      </c>
    </row>
    <row r="161" spans="1:1" x14ac:dyDescent="0.2">
      <c r="A161" s="275">
        <v>152</v>
      </c>
    </row>
    <row r="162" spans="1:1" x14ac:dyDescent="0.2">
      <c r="A162" s="275">
        <v>153</v>
      </c>
    </row>
    <row r="163" spans="1:1" x14ac:dyDescent="0.2">
      <c r="A163" s="275">
        <v>154</v>
      </c>
    </row>
    <row r="164" spans="1:1" x14ac:dyDescent="0.2">
      <c r="A164" s="275">
        <v>155</v>
      </c>
    </row>
    <row r="165" spans="1:1" x14ac:dyDescent="0.2">
      <c r="A165" s="275">
        <v>156</v>
      </c>
    </row>
    <row r="166" spans="1:1" x14ac:dyDescent="0.2">
      <c r="A166" s="275">
        <v>157</v>
      </c>
    </row>
    <row r="167" spans="1:1" x14ac:dyDescent="0.2">
      <c r="A167" s="275">
        <v>158</v>
      </c>
    </row>
    <row r="168" spans="1:1" x14ac:dyDescent="0.2">
      <c r="A168" s="275">
        <v>159</v>
      </c>
    </row>
    <row r="169" spans="1:1" x14ac:dyDescent="0.2">
      <c r="A169" s="275">
        <v>160</v>
      </c>
    </row>
    <row r="170" spans="1:1" x14ac:dyDescent="0.2">
      <c r="A170" s="275">
        <v>161</v>
      </c>
    </row>
    <row r="171" spans="1:1" x14ac:dyDescent="0.2">
      <c r="A171" s="275">
        <v>162</v>
      </c>
    </row>
    <row r="172" spans="1:1" x14ac:dyDescent="0.2">
      <c r="A172" s="275">
        <v>163</v>
      </c>
    </row>
    <row r="173" spans="1:1" x14ac:dyDescent="0.2">
      <c r="A173" s="275">
        <v>164</v>
      </c>
    </row>
    <row r="174" spans="1:1" x14ac:dyDescent="0.2">
      <c r="A174" s="275">
        <v>165</v>
      </c>
    </row>
    <row r="175" spans="1:1" x14ac:dyDescent="0.2">
      <c r="A175" s="275">
        <v>166</v>
      </c>
    </row>
    <row r="176" spans="1:1" x14ac:dyDescent="0.2">
      <c r="A176" s="275">
        <v>167</v>
      </c>
    </row>
    <row r="177" spans="1:1" x14ac:dyDescent="0.2">
      <c r="A177" s="275">
        <v>168</v>
      </c>
    </row>
    <row r="178" spans="1:1" x14ac:dyDescent="0.2">
      <c r="A178" s="275">
        <v>169</v>
      </c>
    </row>
    <row r="179" spans="1:1" x14ac:dyDescent="0.2">
      <c r="A179" s="275">
        <v>170</v>
      </c>
    </row>
    <row r="180" spans="1:1" x14ac:dyDescent="0.2">
      <c r="A180" s="275">
        <v>171</v>
      </c>
    </row>
    <row r="181" spans="1:1" x14ac:dyDescent="0.2">
      <c r="A181" s="275">
        <v>172</v>
      </c>
    </row>
    <row r="182" spans="1:1" x14ac:dyDescent="0.2">
      <c r="A182" s="275">
        <v>173</v>
      </c>
    </row>
    <row r="183" spans="1:1" x14ac:dyDescent="0.2">
      <c r="A183" s="275">
        <v>174</v>
      </c>
    </row>
    <row r="184" spans="1:1" x14ac:dyDescent="0.2">
      <c r="A184" s="275">
        <v>175</v>
      </c>
    </row>
    <row r="185" spans="1:1" x14ac:dyDescent="0.2">
      <c r="A185" s="275">
        <v>176</v>
      </c>
    </row>
    <row r="186" spans="1:1" x14ac:dyDescent="0.2">
      <c r="A186" s="275">
        <v>177</v>
      </c>
    </row>
    <row r="187" spans="1:1" x14ac:dyDescent="0.2">
      <c r="A187" s="275">
        <v>178</v>
      </c>
    </row>
    <row r="188" spans="1:1" x14ac:dyDescent="0.2">
      <c r="A188" s="275">
        <v>179</v>
      </c>
    </row>
    <row r="189" spans="1:1" x14ac:dyDescent="0.2">
      <c r="A189" s="275">
        <v>180</v>
      </c>
    </row>
    <row r="190" spans="1:1" x14ac:dyDescent="0.2">
      <c r="A190" s="275">
        <v>181</v>
      </c>
    </row>
    <row r="191" spans="1:1" x14ac:dyDescent="0.2">
      <c r="A191" s="275">
        <v>182</v>
      </c>
    </row>
    <row r="192" spans="1:1" x14ac:dyDescent="0.2">
      <c r="A192" s="275">
        <v>183</v>
      </c>
    </row>
    <row r="193" spans="1:1" x14ac:dyDescent="0.2">
      <c r="A193" s="275">
        <v>184</v>
      </c>
    </row>
    <row r="194" spans="1:1" x14ac:dyDescent="0.2">
      <c r="A194" s="275">
        <v>185</v>
      </c>
    </row>
    <row r="195" spans="1:1" x14ac:dyDescent="0.2">
      <c r="A195" s="275">
        <v>186</v>
      </c>
    </row>
    <row r="196" spans="1:1" x14ac:dyDescent="0.2">
      <c r="A196" s="275">
        <v>187</v>
      </c>
    </row>
    <row r="197" spans="1:1" x14ac:dyDescent="0.2">
      <c r="A197" s="275">
        <v>188</v>
      </c>
    </row>
    <row r="198" spans="1:1" x14ac:dyDescent="0.2">
      <c r="A198" s="275">
        <v>189</v>
      </c>
    </row>
    <row r="199" spans="1:1" x14ac:dyDescent="0.2">
      <c r="A199" s="275">
        <v>190</v>
      </c>
    </row>
    <row r="200" spans="1:1" x14ac:dyDescent="0.2">
      <c r="A200" s="275">
        <v>191</v>
      </c>
    </row>
    <row r="201" spans="1:1" x14ac:dyDescent="0.2">
      <c r="A201" s="275">
        <v>192</v>
      </c>
    </row>
    <row r="202" spans="1:1" x14ac:dyDescent="0.2">
      <c r="A202" s="275">
        <v>193</v>
      </c>
    </row>
    <row r="203" spans="1:1" x14ac:dyDescent="0.2">
      <c r="A203" s="275">
        <v>194</v>
      </c>
    </row>
    <row r="204" spans="1:1" x14ac:dyDescent="0.2">
      <c r="A204" s="275">
        <v>195</v>
      </c>
    </row>
    <row r="205" spans="1:1" x14ac:dyDescent="0.2">
      <c r="A205" s="275">
        <v>196</v>
      </c>
    </row>
    <row r="206" spans="1:1" x14ac:dyDescent="0.2">
      <c r="A206" s="275">
        <v>197</v>
      </c>
    </row>
    <row r="207" spans="1:1" x14ac:dyDescent="0.2">
      <c r="A207" s="275">
        <v>198</v>
      </c>
    </row>
    <row r="208" spans="1:1" x14ac:dyDescent="0.2">
      <c r="A208" s="275">
        <v>199</v>
      </c>
    </row>
    <row r="209" spans="1:1" x14ac:dyDescent="0.2">
      <c r="A209" s="275">
        <v>200</v>
      </c>
    </row>
    <row r="210" spans="1:1" x14ac:dyDescent="0.2">
      <c r="A210" s="275">
        <v>201</v>
      </c>
    </row>
    <row r="211" spans="1:1" x14ac:dyDescent="0.2">
      <c r="A211" s="275">
        <v>202</v>
      </c>
    </row>
    <row r="212" spans="1:1" x14ac:dyDescent="0.2">
      <c r="A212" s="275">
        <v>203</v>
      </c>
    </row>
    <row r="213" spans="1:1" x14ac:dyDescent="0.2">
      <c r="A213" s="275">
        <v>204</v>
      </c>
    </row>
    <row r="214" spans="1:1" x14ac:dyDescent="0.2">
      <c r="A214" s="275">
        <v>205</v>
      </c>
    </row>
    <row r="215" spans="1:1" x14ac:dyDescent="0.2">
      <c r="A215" s="275">
        <v>206</v>
      </c>
    </row>
    <row r="216" spans="1:1" x14ac:dyDescent="0.2">
      <c r="A216" s="275">
        <v>207</v>
      </c>
    </row>
    <row r="217" spans="1:1" x14ac:dyDescent="0.2">
      <c r="A217" s="275">
        <v>208</v>
      </c>
    </row>
    <row r="218" spans="1:1" x14ac:dyDescent="0.2">
      <c r="A218" s="275">
        <v>209</v>
      </c>
    </row>
    <row r="219" spans="1:1" x14ac:dyDescent="0.2">
      <c r="A219" s="275">
        <v>210</v>
      </c>
    </row>
    <row r="220" spans="1:1" x14ac:dyDescent="0.2">
      <c r="A220" s="275">
        <v>211</v>
      </c>
    </row>
    <row r="221" spans="1:1" x14ac:dyDescent="0.2">
      <c r="A221" s="275">
        <v>212</v>
      </c>
    </row>
    <row r="222" spans="1:1" x14ac:dyDescent="0.2">
      <c r="A222" s="275">
        <v>213</v>
      </c>
    </row>
    <row r="223" spans="1:1" x14ac:dyDescent="0.2">
      <c r="A223" s="275">
        <v>214</v>
      </c>
    </row>
    <row r="224" spans="1:1" x14ac:dyDescent="0.2">
      <c r="A224" s="275">
        <v>215</v>
      </c>
    </row>
    <row r="225" spans="1:1" x14ac:dyDescent="0.2">
      <c r="A225" s="275">
        <v>216</v>
      </c>
    </row>
    <row r="226" spans="1:1" x14ac:dyDescent="0.2">
      <c r="A226" s="275">
        <v>217</v>
      </c>
    </row>
    <row r="227" spans="1:1" x14ac:dyDescent="0.2">
      <c r="A227" s="275">
        <v>218</v>
      </c>
    </row>
    <row r="228" spans="1:1" x14ac:dyDescent="0.2">
      <c r="A228" s="275">
        <v>219</v>
      </c>
    </row>
    <row r="229" spans="1:1" x14ac:dyDescent="0.2">
      <c r="A229" s="275">
        <v>220</v>
      </c>
    </row>
    <row r="230" spans="1:1" x14ac:dyDescent="0.2">
      <c r="A230" s="275">
        <v>221</v>
      </c>
    </row>
    <row r="231" spans="1:1" x14ac:dyDescent="0.2">
      <c r="A231" s="275">
        <v>222</v>
      </c>
    </row>
    <row r="232" spans="1:1" x14ac:dyDescent="0.2">
      <c r="A232" s="275">
        <v>223</v>
      </c>
    </row>
    <row r="233" spans="1:1" x14ac:dyDescent="0.2">
      <c r="A233" s="275">
        <v>224</v>
      </c>
    </row>
    <row r="234" spans="1:1" x14ac:dyDescent="0.2">
      <c r="A234" s="275">
        <v>225</v>
      </c>
    </row>
    <row r="235" spans="1:1" x14ac:dyDescent="0.2">
      <c r="A235" s="275">
        <v>226</v>
      </c>
    </row>
    <row r="236" spans="1:1" x14ac:dyDescent="0.2">
      <c r="A236" s="275">
        <v>227</v>
      </c>
    </row>
    <row r="237" spans="1:1" x14ac:dyDescent="0.2">
      <c r="A237" s="275">
        <v>228</v>
      </c>
    </row>
    <row r="238" spans="1:1" x14ac:dyDescent="0.2">
      <c r="A238" s="275">
        <v>229</v>
      </c>
    </row>
    <row r="239" spans="1:1" x14ac:dyDescent="0.2">
      <c r="A239" s="275">
        <v>230</v>
      </c>
    </row>
    <row r="240" spans="1:1" x14ac:dyDescent="0.2">
      <c r="A240" s="275">
        <v>231</v>
      </c>
    </row>
    <row r="241" spans="1:1" x14ac:dyDescent="0.2">
      <c r="A241" s="275">
        <v>232</v>
      </c>
    </row>
    <row r="242" spans="1:1" x14ac:dyDescent="0.2">
      <c r="A242" s="275">
        <v>233</v>
      </c>
    </row>
    <row r="243" spans="1:1" x14ac:dyDescent="0.2">
      <c r="A243" s="275">
        <v>234</v>
      </c>
    </row>
    <row r="244" spans="1:1" x14ac:dyDescent="0.2">
      <c r="A244" s="275">
        <v>235</v>
      </c>
    </row>
    <row r="245" spans="1:1" x14ac:dyDescent="0.2">
      <c r="A245" s="275">
        <v>236</v>
      </c>
    </row>
    <row r="246" spans="1:1" x14ac:dyDescent="0.2">
      <c r="A246" s="275">
        <v>237</v>
      </c>
    </row>
    <row r="247" spans="1:1" x14ac:dyDescent="0.2">
      <c r="A247" s="275">
        <v>238</v>
      </c>
    </row>
    <row r="248" spans="1:1" x14ac:dyDescent="0.2">
      <c r="A248" s="275">
        <v>239</v>
      </c>
    </row>
    <row r="249" spans="1:1" x14ac:dyDescent="0.2">
      <c r="A249" s="275">
        <v>240</v>
      </c>
    </row>
    <row r="250" spans="1:1" x14ac:dyDescent="0.2">
      <c r="A250" s="275">
        <v>241</v>
      </c>
    </row>
    <row r="251" spans="1:1" x14ac:dyDescent="0.2">
      <c r="A251" s="275">
        <v>242</v>
      </c>
    </row>
    <row r="252" spans="1:1" x14ac:dyDescent="0.2">
      <c r="A252" s="275">
        <v>243</v>
      </c>
    </row>
    <row r="253" spans="1:1" x14ac:dyDescent="0.2">
      <c r="A253" s="275">
        <v>244</v>
      </c>
    </row>
    <row r="254" spans="1:1" x14ac:dyDescent="0.2">
      <c r="A254" s="275">
        <v>245</v>
      </c>
    </row>
    <row r="255" spans="1:1" x14ac:dyDescent="0.2">
      <c r="A255" s="275">
        <v>246</v>
      </c>
    </row>
    <row r="256" spans="1:1" x14ac:dyDescent="0.2">
      <c r="A256" s="275">
        <v>247</v>
      </c>
    </row>
    <row r="257" spans="1:1" x14ac:dyDescent="0.2">
      <c r="A257" s="275">
        <v>248</v>
      </c>
    </row>
    <row r="258" spans="1:1" x14ac:dyDescent="0.2">
      <c r="A258" s="275">
        <v>249</v>
      </c>
    </row>
    <row r="259" spans="1:1" x14ac:dyDescent="0.2">
      <c r="A259" s="275">
        <v>250</v>
      </c>
    </row>
    <row r="260" spans="1:1" x14ac:dyDescent="0.2">
      <c r="A260" s="275">
        <v>251</v>
      </c>
    </row>
    <row r="261" spans="1:1" x14ac:dyDescent="0.2">
      <c r="A261" s="275">
        <v>252</v>
      </c>
    </row>
    <row r="262" spans="1:1" x14ac:dyDescent="0.2">
      <c r="A262" s="275">
        <v>253</v>
      </c>
    </row>
    <row r="263" spans="1:1" x14ac:dyDescent="0.2">
      <c r="A263" s="275">
        <v>254</v>
      </c>
    </row>
    <row r="264" spans="1:1" x14ac:dyDescent="0.2">
      <c r="A264" s="275">
        <v>255</v>
      </c>
    </row>
    <row r="265" spans="1:1" x14ac:dyDescent="0.2">
      <c r="A265" s="275">
        <v>256</v>
      </c>
    </row>
    <row r="266" spans="1:1" x14ac:dyDescent="0.2">
      <c r="A266" s="275">
        <v>257</v>
      </c>
    </row>
    <row r="267" spans="1:1" x14ac:dyDescent="0.2">
      <c r="A267" s="275">
        <v>258</v>
      </c>
    </row>
    <row r="268" spans="1:1" x14ac:dyDescent="0.2">
      <c r="A268" s="275">
        <v>259</v>
      </c>
    </row>
    <row r="269" spans="1:1" x14ac:dyDescent="0.2">
      <c r="A269" s="275">
        <v>260</v>
      </c>
    </row>
    <row r="270" spans="1:1" x14ac:dyDescent="0.2">
      <c r="A270" s="275">
        <v>261</v>
      </c>
    </row>
    <row r="271" spans="1:1" x14ac:dyDescent="0.2">
      <c r="A271" s="275">
        <v>262</v>
      </c>
    </row>
    <row r="272" spans="1:1" x14ac:dyDescent="0.2">
      <c r="A272" s="275">
        <v>263</v>
      </c>
    </row>
    <row r="273" spans="1:1" x14ac:dyDescent="0.2">
      <c r="A273" s="275">
        <v>264</v>
      </c>
    </row>
    <row r="274" spans="1:1" x14ac:dyDescent="0.2">
      <c r="A274" s="275">
        <v>265</v>
      </c>
    </row>
    <row r="275" spans="1:1" x14ac:dyDescent="0.2">
      <c r="A275" s="275">
        <v>266</v>
      </c>
    </row>
    <row r="276" spans="1:1" x14ac:dyDescent="0.2">
      <c r="A276" s="275">
        <v>267</v>
      </c>
    </row>
    <row r="277" spans="1:1" x14ac:dyDescent="0.2">
      <c r="A277" s="275">
        <v>268</v>
      </c>
    </row>
    <row r="278" spans="1:1" x14ac:dyDescent="0.2">
      <c r="A278" s="275">
        <v>269</v>
      </c>
    </row>
    <row r="279" spans="1:1" x14ac:dyDescent="0.2">
      <c r="A279" s="275">
        <v>270</v>
      </c>
    </row>
    <row r="280" spans="1:1" x14ac:dyDescent="0.2">
      <c r="A280" s="275">
        <v>271</v>
      </c>
    </row>
    <row r="281" spans="1:1" x14ac:dyDescent="0.2">
      <c r="A281" s="275">
        <v>272</v>
      </c>
    </row>
    <row r="282" spans="1:1" x14ac:dyDescent="0.2">
      <c r="A282" s="275">
        <v>273</v>
      </c>
    </row>
    <row r="283" spans="1:1" x14ac:dyDescent="0.2">
      <c r="A283" s="275">
        <v>274</v>
      </c>
    </row>
    <row r="284" spans="1:1" x14ac:dyDescent="0.2">
      <c r="A284" s="275">
        <v>275</v>
      </c>
    </row>
    <row r="285" spans="1:1" x14ac:dyDescent="0.2">
      <c r="A285" s="275">
        <v>276</v>
      </c>
    </row>
    <row r="286" spans="1:1" x14ac:dyDescent="0.2">
      <c r="A286" s="275">
        <v>277</v>
      </c>
    </row>
    <row r="287" spans="1:1" x14ac:dyDescent="0.2">
      <c r="A287" s="275">
        <v>278</v>
      </c>
    </row>
    <row r="288" spans="1:1" x14ac:dyDescent="0.2">
      <c r="A288" s="275">
        <v>279</v>
      </c>
    </row>
    <row r="289" spans="1:1" x14ac:dyDescent="0.2">
      <c r="A289" s="275">
        <v>280</v>
      </c>
    </row>
    <row r="290" spans="1:1" x14ac:dyDescent="0.2">
      <c r="A290" s="275">
        <v>281</v>
      </c>
    </row>
    <row r="291" spans="1:1" x14ac:dyDescent="0.2">
      <c r="A291" s="275">
        <v>282</v>
      </c>
    </row>
    <row r="292" spans="1:1" x14ac:dyDescent="0.2">
      <c r="A292" s="275">
        <v>283</v>
      </c>
    </row>
    <row r="293" spans="1:1" x14ac:dyDescent="0.2">
      <c r="A293" s="275">
        <v>284</v>
      </c>
    </row>
    <row r="294" spans="1:1" x14ac:dyDescent="0.2">
      <c r="A294" s="275">
        <v>285</v>
      </c>
    </row>
    <row r="295" spans="1:1" x14ac:dyDescent="0.2">
      <c r="A295" s="275">
        <v>286</v>
      </c>
    </row>
    <row r="296" spans="1:1" x14ac:dyDescent="0.2">
      <c r="A296" s="275">
        <v>287</v>
      </c>
    </row>
    <row r="297" spans="1:1" x14ac:dyDescent="0.2">
      <c r="A297" s="275">
        <v>288</v>
      </c>
    </row>
    <row r="298" spans="1:1" x14ac:dyDescent="0.2">
      <c r="A298" s="275">
        <v>289</v>
      </c>
    </row>
    <row r="299" spans="1:1" x14ac:dyDescent="0.2">
      <c r="A299" s="275">
        <v>290</v>
      </c>
    </row>
    <row r="300" spans="1:1" x14ac:dyDescent="0.2">
      <c r="A300" s="275">
        <v>291</v>
      </c>
    </row>
    <row r="301" spans="1:1" x14ac:dyDescent="0.2">
      <c r="A301" s="275">
        <v>292</v>
      </c>
    </row>
    <row r="302" spans="1:1" x14ac:dyDescent="0.2">
      <c r="A302" s="275">
        <v>293</v>
      </c>
    </row>
    <row r="303" spans="1:1" x14ac:dyDescent="0.2">
      <c r="A303" s="275">
        <v>294</v>
      </c>
    </row>
    <row r="304" spans="1:1" x14ac:dyDescent="0.2">
      <c r="A304" s="275">
        <v>295</v>
      </c>
    </row>
    <row r="305" spans="1:1" x14ac:dyDescent="0.2">
      <c r="A305" s="275">
        <v>296</v>
      </c>
    </row>
    <row r="306" spans="1:1" x14ac:dyDescent="0.2">
      <c r="A306" s="275">
        <v>297</v>
      </c>
    </row>
    <row r="307" spans="1:1" x14ac:dyDescent="0.2">
      <c r="A307" s="275">
        <v>298</v>
      </c>
    </row>
    <row r="308" spans="1:1" x14ac:dyDescent="0.2">
      <c r="A308" s="275">
        <v>299</v>
      </c>
    </row>
    <row r="309" spans="1:1" x14ac:dyDescent="0.2">
      <c r="A309" s="275">
        <v>300</v>
      </c>
    </row>
    <row r="310" spans="1:1" x14ac:dyDescent="0.2">
      <c r="A310" s="275">
        <v>301</v>
      </c>
    </row>
    <row r="311" spans="1:1" x14ac:dyDescent="0.2">
      <c r="A311" s="275">
        <v>302</v>
      </c>
    </row>
    <row r="312" spans="1:1" x14ac:dyDescent="0.2">
      <c r="A312" s="275">
        <v>303</v>
      </c>
    </row>
    <row r="313" spans="1:1" x14ac:dyDescent="0.2">
      <c r="A313" s="275">
        <v>304</v>
      </c>
    </row>
    <row r="314" spans="1:1" x14ac:dyDescent="0.2">
      <c r="A314" s="275">
        <v>305</v>
      </c>
    </row>
    <row r="315" spans="1:1" x14ac:dyDescent="0.2">
      <c r="A315" s="275">
        <v>306</v>
      </c>
    </row>
    <row r="316" spans="1:1" x14ac:dyDescent="0.2">
      <c r="A316" s="275">
        <v>307</v>
      </c>
    </row>
    <row r="317" spans="1:1" x14ac:dyDescent="0.2">
      <c r="A317" s="275">
        <v>308</v>
      </c>
    </row>
    <row r="318" spans="1:1" x14ac:dyDescent="0.2">
      <c r="A318" s="275">
        <v>309</v>
      </c>
    </row>
    <row r="319" spans="1:1" x14ac:dyDescent="0.2">
      <c r="A319" s="275">
        <v>310</v>
      </c>
    </row>
    <row r="320" spans="1:1" x14ac:dyDescent="0.2">
      <c r="A320" s="275">
        <v>311</v>
      </c>
    </row>
    <row r="321" spans="1:1" x14ac:dyDescent="0.2">
      <c r="A321" s="275">
        <v>312</v>
      </c>
    </row>
    <row r="322" spans="1:1" x14ac:dyDescent="0.2">
      <c r="A322" s="275">
        <v>313</v>
      </c>
    </row>
    <row r="323" spans="1:1" x14ac:dyDescent="0.2">
      <c r="A323" s="275">
        <v>314</v>
      </c>
    </row>
    <row r="324" spans="1:1" x14ac:dyDescent="0.2">
      <c r="A324" s="275">
        <v>315</v>
      </c>
    </row>
    <row r="325" spans="1:1" x14ac:dyDescent="0.2">
      <c r="A325" s="275">
        <v>316</v>
      </c>
    </row>
    <row r="326" spans="1:1" x14ac:dyDescent="0.2">
      <c r="A326" s="275">
        <v>317</v>
      </c>
    </row>
    <row r="327" spans="1:1" x14ac:dyDescent="0.2">
      <c r="A327" s="275">
        <v>318</v>
      </c>
    </row>
    <row r="328" spans="1:1" x14ac:dyDescent="0.2">
      <c r="A328" s="275">
        <v>319</v>
      </c>
    </row>
    <row r="329" spans="1:1" x14ac:dyDescent="0.2">
      <c r="A329" s="275">
        <v>320</v>
      </c>
    </row>
    <row r="330" spans="1:1" x14ac:dyDescent="0.2">
      <c r="A330" s="275">
        <v>321</v>
      </c>
    </row>
    <row r="331" spans="1:1" x14ac:dyDescent="0.2">
      <c r="A331" s="275">
        <v>322</v>
      </c>
    </row>
    <row r="332" spans="1:1" x14ac:dyDescent="0.2">
      <c r="A332" s="275">
        <v>323</v>
      </c>
    </row>
    <row r="333" spans="1:1" x14ac:dyDescent="0.2">
      <c r="A333" s="275">
        <v>324</v>
      </c>
    </row>
    <row r="334" spans="1:1" x14ac:dyDescent="0.2">
      <c r="A334" s="275">
        <v>325</v>
      </c>
    </row>
    <row r="335" spans="1:1" x14ac:dyDescent="0.2">
      <c r="A335" s="275">
        <v>326</v>
      </c>
    </row>
    <row r="336" spans="1:1" x14ac:dyDescent="0.2">
      <c r="A336" s="275">
        <v>327</v>
      </c>
    </row>
    <row r="337" spans="1:1" x14ac:dyDescent="0.2">
      <c r="A337" s="275">
        <v>328</v>
      </c>
    </row>
    <row r="338" spans="1:1" x14ac:dyDescent="0.2">
      <c r="A338" s="275">
        <v>329</v>
      </c>
    </row>
    <row r="339" spans="1:1" x14ac:dyDescent="0.2">
      <c r="A339" s="275">
        <v>330</v>
      </c>
    </row>
    <row r="340" spans="1:1" x14ac:dyDescent="0.2">
      <c r="A340" s="275">
        <v>331</v>
      </c>
    </row>
    <row r="341" spans="1:1" x14ac:dyDescent="0.2">
      <c r="A341" s="275">
        <v>332</v>
      </c>
    </row>
    <row r="342" spans="1:1" x14ac:dyDescent="0.2">
      <c r="A342" s="275">
        <v>333</v>
      </c>
    </row>
    <row r="343" spans="1:1" x14ac:dyDescent="0.2">
      <c r="A343" s="275">
        <v>334</v>
      </c>
    </row>
    <row r="344" spans="1:1" x14ac:dyDescent="0.2">
      <c r="A344" s="275">
        <v>335</v>
      </c>
    </row>
    <row r="345" spans="1:1" x14ac:dyDescent="0.2">
      <c r="A345" s="275">
        <v>336</v>
      </c>
    </row>
    <row r="346" spans="1:1" x14ac:dyDescent="0.2">
      <c r="A346" s="275">
        <v>337</v>
      </c>
    </row>
    <row r="347" spans="1:1" x14ac:dyDescent="0.2">
      <c r="A347" s="275">
        <v>338</v>
      </c>
    </row>
    <row r="348" spans="1:1" x14ac:dyDescent="0.2">
      <c r="A348" s="275">
        <v>339</v>
      </c>
    </row>
  </sheetData>
  <customSheetViews>
    <customSheetView guid="{40555330-83BF-42FA-97D0-8A355A41C0A0}" scale="115" state="hidden">
      <pane xSplit="1" ySplit="8" topLeftCell="B9" activePane="bottomRight" state="frozen"/>
      <selection pane="bottomRight" activeCell="I20" sqref="I20"/>
      <pageMargins left="0.78740157480314965" right="0.78740157480314965" top="0.59055118110236227" bottom="0.98425196850393704" header="0.31496062992125984" footer="0.51181102362204722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8740157480314965" right="0.78740157480314965" top="0.59055118110236227" bottom="0.98425196850393704" header="0.31496062992125984" footer="0.51181102362204722"/>
  <pageSetup paperSize="9" orientation="portrait" r:id="rId2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E150"/>
  <sheetViews>
    <sheetView workbookViewId="0">
      <selection activeCell="B11" sqref="B11"/>
    </sheetView>
  </sheetViews>
  <sheetFormatPr defaultColWidth="9.33203125" defaultRowHeight="11.25" x14ac:dyDescent="0.2"/>
  <cols>
    <col min="1" max="1" width="15.33203125" style="1" customWidth="1"/>
    <col min="2" max="8" width="10.83203125" style="1" customWidth="1"/>
    <col min="9" max="16384" width="9.33203125" style="1"/>
  </cols>
  <sheetData>
    <row r="1" spans="1:5" x14ac:dyDescent="0.2">
      <c r="A1" s="2" t="s">
        <v>156</v>
      </c>
      <c r="B1" s="3"/>
      <c r="C1" s="3"/>
      <c r="D1" s="3"/>
      <c r="E1" s="4"/>
    </row>
    <row r="2" spans="1:5" x14ac:dyDescent="0.2">
      <c r="A2" s="5"/>
      <c r="E2" s="6"/>
    </row>
    <row r="3" spans="1:5" x14ac:dyDescent="0.2">
      <c r="A3" s="80"/>
      <c r="B3" s="80" t="s">
        <v>126</v>
      </c>
      <c r="C3" s="81"/>
      <c r="D3" s="81"/>
      <c r="E3" s="6"/>
    </row>
    <row r="4" spans="1:5" x14ac:dyDescent="0.2">
      <c r="A4" s="80" t="s">
        <v>101</v>
      </c>
      <c r="B4" s="81" t="s">
        <v>233</v>
      </c>
      <c r="C4" s="81"/>
      <c r="D4" s="81"/>
      <c r="E4" s="6"/>
    </row>
    <row r="5" spans="1:5" x14ac:dyDescent="0.2">
      <c r="A5" s="5">
        <v>0</v>
      </c>
      <c r="B5" s="1">
        <f>StartkolonneStandard</f>
        <v>4</v>
      </c>
      <c r="C5" s="82"/>
      <c r="D5" s="82"/>
      <c r="E5" s="6"/>
    </row>
    <row r="6" spans="1:5" x14ac:dyDescent="0.2">
      <c r="A6" s="5">
        <v>1</v>
      </c>
      <c r="B6" s="1">
        <f>StartkolonneAC1</f>
        <v>7</v>
      </c>
      <c r="C6" s="82"/>
      <c r="D6" s="82"/>
      <c r="E6" s="6"/>
    </row>
    <row r="7" spans="1:5" x14ac:dyDescent="0.2">
      <c r="A7" s="5">
        <v>2</v>
      </c>
      <c r="B7" s="1">
        <f>StartkolonneAC2</f>
        <v>2006</v>
      </c>
      <c r="C7" s="82"/>
      <c r="D7" s="82"/>
      <c r="E7" s="6"/>
    </row>
    <row r="8" spans="1:5" x14ac:dyDescent="0.2">
      <c r="A8" s="5">
        <v>3</v>
      </c>
      <c r="B8" s="1">
        <f>StartkolonneSundAlm</f>
        <v>14</v>
      </c>
      <c r="C8" s="82"/>
      <c r="D8" s="82"/>
      <c r="E8" s="6"/>
    </row>
    <row r="9" spans="1:5" x14ac:dyDescent="0.2">
      <c r="A9" s="5">
        <v>4</v>
      </c>
      <c r="B9" s="1">
        <f>StartkolonneSundLeder</f>
        <v>18</v>
      </c>
      <c r="C9" s="82"/>
      <c r="D9" s="82"/>
      <c r="E9" s="6"/>
    </row>
    <row r="10" spans="1:5" x14ac:dyDescent="0.2">
      <c r="A10" s="5">
        <v>5</v>
      </c>
      <c r="B10" s="1" t="e">
        <f>StartkolonneKostfagl</f>
        <v>#REF!</v>
      </c>
      <c r="C10" s="82"/>
      <c r="D10" s="82"/>
      <c r="E10" s="6"/>
    </row>
    <row r="11" spans="1:5" x14ac:dyDescent="0.2">
      <c r="A11" s="5">
        <v>6</v>
      </c>
      <c r="B11" s="1">
        <f>StartkolonneStandard+1</f>
        <v>5</v>
      </c>
      <c r="D11" s="82"/>
      <c r="E11" s="6"/>
    </row>
    <row r="12" spans="1:5" x14ac:dyDescent="0.2">
      <c r="A12" s="7"/>
      <c r="B12" s="8"/>
      <c r="C12" s="8"/>
      <c r="D12" s="8"/>
      <c r="E12" s="79"/>
    </row>
    <row r="13" spans="1:5" x14ac:dyDescent="0.2">
      <c r="A13" s="5"/>
    </row>
    <row r="14" spans="1:5" x14ac:dyDescent="0.2">
      <c r="A14" s="2" t="s">
        <v>264</v>
      </c>
      <c r="B14" s="3"/>
      <c r="C14" s="3"/>
      <c r="D14" s="3"/>
      <c r="E14" s="4"/>
    </row>
    <row r="15" spans="1:5" x14ac:dyDescent="0.2">
      <c r="A15" s="80"/>
      <c r="B15" s="81" t="s">
        <v>126</v>
      </c>
      <c r="C15" s="81"/>
      <c r="D15" s="81"/>
      <c r="E15" s="6"/>
    </row>
    <row r="16" spans="1:5" x14ac:dyDescent="0.2">
      <c r="A16" s="80" t="s">
        <v>101</v>
      </c>
      <c r="B16" s="81"/>
      <c r="C16" s="81"/>
      <c r="D16" s="81"/>
      <c r="E16" s="6"/>
    </row>
    <row r="17" spans="1:5" x14ac:dyDescent="0.2">
      <c r="A17" s="5">
        <v>0</v>
      </c>
      <c r="B17" s="1">
        <f>StartkolonneStandard-2</f>
        <v>2</v>
      </c>
      <c r="C17" s="82"/>
      <c r="D17" s="82"/>
      <c r="E17" s="6"/>
    </row>
    <row r="18" spans="1:5" x14ac:dyDescent="0.2">
      <c r="A18" s="5">
        <v>1</v>
      </c>
      <c r="B18" s="1">
        <f>StartkolonneAC1-1</f>
        <v>6</v>
      </c>
      <c r="C18" s="82"/>
      <c r="D18" s="82"/>
      <c r="E18" s="6"/>
    </row>
    <row r="19" spans="1:5" x14ac:dyDescent="0.2">
      <c r="A19" s="5">
        <v>2</v>
      </c>
      <c r="B19" s="1">
        <f>StartkolonneAC2-1</f>
        <v>2005</v>
      </c>
      <c r="C19" s="82"/>
      <c r="D19" s="82"/>
      <c r="E19" s="6"/>
    </row>
    <row r="20" spans="1:5" x14ac:dyDescent="0.2">
      <c r="A20" s="1">
        <v>3</v>
      </c>
      <c r="B20" s="1">
        <f>StartkolonneSundAlm-2</f>
        <v>12</v>
      </c>
      <c r="C20" s="82"/>
      <c r="D20" s="82"/>
      <c r="E20" s="6"/>
    </row>
    <row r="21" spans="1:5" x14ac:dyDescent="0.2">
      <c r="A21" s="5">
        <v>4</v>
      </c>
      <c r="B21" s="1">
        <f>StartkolonneSundLeder-2</f>
        <v>16</v>
      </c>
      <c r="C21" s="82"/>
      <c r="D21" s="82"/>
      <c r="E21" s="6"/>
    </row>
    <row r="22" spans="1:5" x14ac:dyDescent="0.2">
      <c r="A22" s="5">
        <v>5</v>
      </c>
      <c r="B22" s="1" t="e">
        <f>StartkolonneKostfagl-2</f>
        <v>#REF!</v>
      </c>
      <c r="C22" s="82"/>
      <c r="D22" s="82"/>
      <c r="E22" s="6"/>
    </row>
    <row r="23" spans="1:5" x14ac:dyDescent="0.2">
      <c r="A23" s="5">
        <v>6</v>
      </c>
      <c r="B23" s="1">
        <f>StartkolonneStandard-2</f>
        <v>2</v>
      </c>
      <c r="C23" s="82"/>
      <c r="D23" s="82"/>
      <c r="E23" s="6"/>
    </row>
    <row r="24" spans="1:5" x14ac:dyDescent="0.2">
      <c r="A24" s="7"/>
      <c r="B24" s="8"/>
      <c r="C24" s="8"/>
      <c r="D24" s="247"/>
      <c r="E24" s="79"/>
    </row>
    <row r="25" spans="1:5" x14ac:dyDescent="0.2">
      <c r="A25" s="5"/>
      <c r="D25" s="82"/>
    </row>
    <row r="26" spans="1:5" x14ac:dyDescent="0.2">
      <c r="A26" s="5"/>
      <c r="D26" s="82"/>
    </row>
    <row r="27" spans="1:5" x14ac:dyDescent="0.2">
      <c r="A27" s="5"/>
    </row>
    <row r="28" spans="1:5" x14ac:dyDescent="0.2">
      <c r="A28" s="2" t="s">
        <v>267</v>
      </c>
      <c r="B28" s="3"/>
      <c r="C28" s="3"/>
      <c r="D28" s="3"/>
      <c r="E28" s="4"/>
    </row>
    <row r="29" spans="1:5" x14ac:dyDescent="0.2">
      <c r="A29" s="5"/>
      <c r="E29" s="6"/>
    </row>
    <row r="30" spans="1:5" x14ac:dyDescent="0.2">
      <c r="A30" s="5"/>
      <c r="B30" s="1" t="s">
        <v>101</v>
      </c>
      <c r="C30" s="1" t="s">
        <v>102</v>
      </c>
      <c r="E30" s="6"/>
    </row>
    <row r="31" spans="1:5" x14ac:dyDescent="0.2">
      <c r="A31" s="5"/>
      <c r="C31" s="1" t="s">
        <v>233</v>
      </c>
      <c r="E31" s="6"/>
    </row>
    <row r="32" spans="1:5" x14ac:dyDescent="0.2">
      <c r="A32" s="5"/>
      <c r="E32" s="6"/>
    </row>
    <row r="33" spans="1:5" x14ac:dyDescent="0.2">
      <c r="A33" s="5" t="s">
        <v>242</v>
      </c>
      <c r="B33" s="1">
        <f>LønkodeRåd1</f>
        <v>0</v>
      </c>
      <c r="C33" s="1">
        <f>VLOOKUP(LønkodeRåd1,TabelLøntabel,2,1)</f>
        <v>4</v>
      </c>
      <c r="E33" s="6"/>
    </row>
    <row r="34" spans="1:5" x14ac:dyDescent="0.2">
      <c r="A34" s="5" t="s">
        <v>243</v>
      </c>
      <c r="B34" s="1">
        <f>LønkodeRåd2</f>
        <v>0</v>
      </c>
      <c r="C34" s="1">
        <f>VLOOKUP(LønkodeRåd2,TabelLøntabel,2,1)</f>
        <v>4</v>
      </c>
      <c r="E34" s="6"/>
    </row>
    <row r="35" spans="1:5" x14ac:dyDescent="0.2">
      <c r="A35" s="5"/>
      <c r="E35" s="6"/>
    </row>
    <row r="36" spans="1:5" x14ac:dyDescent="0.2">
      <c r="A36" s="5" t="s">
        <v>260</v>
      </c>
      <c r="B36" s="1">
        <f>LønkodeRåd2Time</f>
        <v>0</v>
      </c>
      <c r="C36" s="1">
        <f>VLOOKUP(LønkodeRåd2Time,TabelLøntabel,2,1)</f>
        <v>4</v>
      </c>
      <c r="E36" s="6"/>
    </row>
    <row r="37" spans="1:5" x14ac:dyDescent="0.2">
      <c r="A37" s="5"/>
      <c r="E37" s="6"/>
    </row>
    <row r="38" spans="1:5" x14ac:dyDescent="0.2">
      <c r="A38" s="5" t="s">
        <v>30</v>
      </c>
      <c r="B38" s="1">
        <f>LønkodeUd</f>
        <v>0</v>
      </c>
      <c r="C38" s="1">
        <f>VLOOKUP(LønkodeUd,TabelLøntabel,2,1)</f>
        <v>4</v>
      </c>
      <c r="E38" s="6"/>
    </row>
    <row r="39" spans="1:5" x14ac:dyDescent="0.2">
      <c r="A39" s="5" t="s">
        <v>155</v>
      </c>
      <c r="B39" s="1">
        <f>LønkodeNyLøn</f>
        <v>0</v>
      </c>
      <c r="C39" s="1">
        <f>VLOOKUP(LønkodeNyLøn,TabelLøntabel,2,1)</f>
        <v>4</v>
      </c>
      <c r="E39" s="6"/>
    </row>
    <row r="40" spans="1:5" x14ac:dyDescent="0.2">
      <c r="A40" s="5"/>
      <c r="E40" s="6"/>
    </row>
    <row r="41" spans="1:5" x14ac:dyDescent="0.2">
      <c r="A41" s="5"/>
      <c r="E41" s="6"/>
    </row>
    <row r="42" spans="1:5" x14ac:dyDescent="0.2">
      <c r="A42" s="5" t="s">
        <v>123</v>
      </c>
      <c r="E42" s="6"/>
    </row>
    <row r="43" spans="1:5" x14ac:dyDescent="0.2">
      <c r="A43" s="5"/>
      <c r="B43" s="1">
        <v>0</v>
      </c>
      <c r="C43" s="1">
        <f>StartkolonneStandard</f>
        <v>4</v>
      </c>
      <c r="E43" s="6"/>
    </row>
    <row r="44" spans="1:5" x14ac:dyDescent="0.2">
      <c r="A44" s="5"/>
      <c r="B44" s="1">
        <v>1</v>
      </c>
      <c r="C44" s="1">
        <f>StartkolonneAC1</f>
        <v>7</v>
      </c>
      <c r="E44" s="6"/>
    </row>
    <row r="45" spans="1:5" x14ac:dyDescent="0.2">
      <c r="A45" s="5"/>
      <c r="B45" s="1">
        <v>2</v>
      </c>
      <c r="C45" s="1">
        <f>StartkolonneAC2</f>
        <v>2006</v>
      </c>
      <c r="E45" s="6"/>
    </row>
    <row r="46" spans="1:5" x14ac:dyDescent="0.2">
      <c r="A46" s="5"/>
      <c r="B46" s="1">
        <v>3</v>
      </c>
      <c r="C46" s="1">
        <f>StartkolonneSundAlm</f>
        <v>14</v>
      </c>
      <c r="E46" s="6"/>
    </row>
    <row r="47" spans="1:5" x14ac:dyDescent="0.2">
      <c r="A47" s="5"/>
      <c r="B47" s="1">
        <v>4</v>
      </c>
      <c r="C47" s="1">
        <f>StartkolonneSundLeder</f>
        <v>18</v>
      </c>
      <c r="E47" s="6"/>
    </row>
    <row r="48" spans="1:5" x14ac:dyDescent="0.2">
      <c r="A48" s="5"/>
      <c r="B48" s="1">
        <v>5</v>
      </c>
      <c r="C48" s="1" t="e">
        <f>StartkolonneKostfagl</f>
        <v>#REF!</v>
      </c>
      <c r="E48" s="6"/>
    </row>
    <row r="49" spans="1:5" x14ac:dyDescent="0.2">
      <c r="A49" s="5"/>
      <c r="B49" s="1">
        <v>5</v>
      </c>
      <c r="C49" s="1">
        <f>StartkolonneStandard+1</f>
        <v>5</v>
      </c>
      <c r="E49" s="6"/>
    </row>
    <row r="50" spans="1:5" x14ac:dyDescent="0.2">
      <c r="A50" s="7"/>
      <c r="B50" s="8"/>
      <c r="C50" s="8"/>
      <c r="D50" s="8"/>
      <c r="E50" s="79"/>
    </row>
    <row r="54" spans="1:5" x14ac:dyDescent="0.2">
      <c r="A54" s="2" t="s">
        <v>123</v>
      </c>
      <c r="B54" s="3"/>
      <c r="C54" s="3"/>
      <c r="D54" s="3"/>
      <c r="E54" s="4"/>
    </row>
    <row r="55" spans="1:5" x14ac:dyDescent="0.2">
      <c r="A55" s="2" t="s">
        <v>105</v>
      </c>
      <c r="E55" s="6"/>
    </row>
    <row r="56" spans="1:5" x14ac:dyDescent="0.2">
      <c r="A56" s="5"/>
      <c r="E56" s="6"/>
    </row>
    <row r="57" spans="1:5" x14ac:dyDescent="0.2">
      <c r="A57" s="5">
        <v>0</v>
      </c>
      <c r="B57" s="1" t="s">
        <v>7</v>
      </c>
      <c r="E57" s="6"/>
    </row>
    <row r="58" spans="1:5" x14ac:dyDescent="0.2">
      <c r="A58" s="5">
        <v>1</v>
      </c>
      <c r="B58" s="1" t="s">
        <v>64</v>
      </c>
      <c r="E58" s="6"/>
    </row>
    <row r="59" spans="1:5" x14ac:dyDescent="0.2">
      <c r="A59" s="5">
        <v>2</v>
      </c>
      <c r="B59" s="1" t="s">
        <v>71</v>
      </c>
      <c r="E59" s="6"/>
    </row>
    <row r="60" spans="1:5" x14ac:dyDescent="0.2">
      <c r="A60" s="5">
        <v>3</v>
      </c>
      <c r="B60" s="1" t="s">
        <v>56</v>
      </c>
      <c r="E60" s="6"/>
    </row>
    <row r="61" spans="1:5" x14ac:dyDescent="0.2">
      <c r="A61" s="5">
        <v>4</v>
      </c>
      <c r="B61" s="1" t="s">
        <v>57</v>
      </c>
      <c r="E61" s="6"/>
    </row>
    <row r="62" spans="1:5" x14ac:dyDescent="0.2">
      <c r="A62" s="5">
        <v>5</v>
      </c>
      <c r="B62" s="1" t="s">
        <v>194</v>
      </c>
      <c r="E62" s="6"/>
    </row>
    <row r="63" spans="1:5" x14ac:dyDescent="0.2">
      <c r="A63" s="5">
        <v>6</v>
      </c>
      <c r="B63" s="1" t="s">
        <v>7</v>
      </c>
      <c r="E63" s="6"/>
    </row>
    <row r="64" spans="1:5" x14ac:dyDescent="0.2">
      <c r="A64" s="7"/>
      <c r="B64" s="8"/>
      <c r="C64" s="8"/>
      <c r="D64" s="8"/>
      <c r="E64" s="79"/>
    </row>
    <row r="66" spans="1:5" x14ac:dyDescent="0.2">
      <c r="A66" s="2" t="s">
        <v>123</v>
      </c>
      <c r="B66" s="3"/>
      <c r="C66" s="3"/>
      <c r="D66" s="3"/>
      <c r="E66" s="4"/>
    </row>
    <row r="67" spans="1:5" x14ac:dyDescent="0.2">
      <c r="A67" s="5" t="s">
        <v>136</v>
      </c>
      <c r="E67" s="6"/>
    </row>
    <row r="68" spans="1:5" x14ac:dyDescent="0.2">
      <c r="A68" s="5"/>
      <c r="E68" s="6"/>
    </row>
    <row r="69" spans="1:5" x14ac:dyDescent="0.2">
      <c r="A69" s="5" t="s">
        <v>127</v>
      </c>
      <c r="B69" s="1" t="s">
        <v>129</v>
      </c>
      <c r="C69" s="1" t="s">
        <v>137</v>
      </c>
      <c r="E69" s="6"/>
    </row>
    <row r="70" spans="1:5" x14ac:dyDescent="0.2">
      <c r="A70" s="5">
        <v>0</v>
      </c>
      <c r="B70" s="1" t="s">
        <v>7</v>
      </c>
      <c r="C70" s="1">
        <v>0</v>
      </c>
      <c r="E70" s="6"/>
    </row>
    <row r="71" spans="1:5" x14ac:dyDescent="0.2">
      <c r="A71" s="5">
        <v>1</v>
      </c>
      <c r="B71" s="1" t="s">
        <v>64</v>
      </c>
      <c r="C71" s="1">
        <v>1</v>
      </c>
      <c r="E71" s="6"/>
    </row>
    <row r="72" spans="1:5" x14ac:dyDescent="0.2">
      <c r="A72" s="5">
        <v>2</v>
      </c>
      <c r="B72" s="1" t="s">
        <v>71</v>
      </c>
      <c r="C72" s="1">
        <v>1</v>
      </c>
      <c r="E72" s="6"/>
    </row>
    <row r="73" spans="1:5" x14ac:dyDescent="0.2">
      <c r="A73" s="5">
        <v>3</v>
      </c>
      <c r="B73" s="1" t="s">
        <v>56</v>
      </c>
      <c r="C73" s="1">
        <v>0</v>
      </c>
      <c r="E73" s="6"/>
    </row>
    <row r="74" spans="1:5" x14ac:dyDescent="0.2">
      <c r="A74" s="5">
        <v>4</v>
      </c>
      <c r="B74" s="1" t="s">
        <v>57</v>
      </c>
      <c r="C74" s="1">
        <v>0</v>
      </c>
      <c r="E74" s="6"/>
    </row>
    <row r="75" spans="1:5" x14ac:dyDescent="0.2">
      <c r="A75" s="5">
        <v>5</v>
      </c>
      <c r="B75" s="1" t="s">
        <v>174</v>
      </c>
      <c r="C75" s="1">
        <v>1</v>
      </c>
      <c r="E75" s="6"/>
    </row>
    <row r="76" spans="1:5" x14ac:dyDescent="0.2">
      <c r="A76" s="5">
        <v>6</v>
      </c>
      <c r="B76" s="1" t="s">
        <v>7</v>
      </c>
      <c r="C76" s="1">
        <v>0</v>
      </c>
      <c r="E76" s="6"/>
    </row>
    <row r="77" spans="1:5" x14ac:dyDescent="0.2">
      <c r="A77" s="7"/>
      <c r="B77" s="8"/>
      <c r="C77" s="8"/>
      <c r="D77" s="8"/>
      <c r="E77" s="79"/>
    </row>
    <row r="79" spans="1:5" x14ac:dyDescent="0.2">
      <c r="A79" s="2" t="s">
        <v>123</v>
      </c>
      <c r="B79" s="3"/>
      <c r="C79" s="3"/>
      <c r="D79" s="3"/>
      <c r="E79" s="4"/>
    </row>
    <row r="80" spans="1:5" x14ac:dyDescent="0.2">
      <c r="A80" s="5" t="s">
        <v>141</v>
      </c>
      <c r="E80" s="6"/>
    </row>
    <row r="81" spans="1:5" x14ac:dyDescent="0.2">
      <c r="A81" s="5"/>
      <c r="E81" s="6"/>
    </row>
    <row r="82" spans="1:5" x14ac:dyDescent="0.2">
      <c r="A82" s="5" t="s">
        <v>127</v>
      </c>
      <c r="B82" s="1" t="s">
        <v>129</v>
      </c>
      <c r="C82" s="1" t="s">
        <v>142</v>
      </c>
      <c r="E82" s="6"/>
    </row>
    <row r="83" spans="1:5" x14ac:dyDescent="0.2">
      <c r="A83" s="5">
        <v>0</v>
      </c>
      <c r="B83" s="1" t="s">
        <v>7</v>
      </c>
      <c r="C83" s="1">
        <v>0</v>
      </c>
      <c r="E83" s="6"/>
    </row>
    <row r="84" spans="1:5" x14ac:dyDescent="0.2">
      <c r="A84" s="5">
        <v>1</v>
      </c>
      <c r="B84" s="1" t="s">
        <v>64</v>
      </c>
      <c r="C84" s="1">
        <v>0</v>
      </c>
      <c r="E84" s="6"/>
    </row>
    <row r="85" spans="1:5" x14ac:dyDescent="0.2">
      <c r="A85" s="5">
        <v>2</v>
      </c>
      <c r="B85" s="1" t="s">
        <v>71</v>
      </c>
      <c r="C85" s="1">
        <v>0</v>
      </c>
      <c r="E85" s="6"/>
    </row>
    <row r="86" spans="1:5" x14ac:dyDescent="0.2">
      <c r="A86" s="5">
        <v>3</v>
      </c>
      <c r="B86" s="1" t="s">
        <v>56</v>
      </c>
      <c r="C86" s="1">
        <v>1.95</v>
      </c>
      <c r="E86" s="6"/>
    </row>
    <row r="87" spans="1:5" x14ac:dyDescent="0.2">
      <c r="A87" s="5">
        <v>4</v>
      </c>
      <c r="B87" s="1" t="s">
        <v>57</v>
      </c>
      <c r="C87" s="1">
        <v>1.95</v>
      </c>
      <c r="E87" s="6"/>
    </row>
    <row r="88" spans="1:5" x14ac:dyDescent="0.2">
      <c r="A88" s="5">
        <v>5</v>
      </c>
      <c r="B88" s="1" t="s">
        <v>174</v>
      </c>
      <c r="C88" s="1">
        <v>0</v>
      </c>
      <c r="E88" s="6"/>
    </row>
    <row r="89" spans="1:5" x14ac:dyDescent="0.2">
      <c r="A89" s="5">
        <v>6</v>
      </c>
      <c r="B89" s="1" t="s">
        <v>7</v>
      </c>
      <c r="C89" s="1">
        <v>0</v>
      </c>
      <c r="E89" s="6"/>
    </row>
    <row r="90" spans="1:5" x14ac:dyDescent="0.2">
      <c r="A90" s="7"/>
      <c r="B90" s="8"/>
      <c r="C90" s="8"/>
      <c r="D90" s="8"/>
      <c r="E90" s="79"/>
    </row>
    <row r="92" spans="1:5" x14ac:dyDescent="0.2">
      <c r="A92" s="2" t="s">
        <v>123</v>
      </c>
      <c r="B92" s="3"/>
      <c r="C92" s="3"/>
      <c r="D92" s="3"/>
      <c r="E92" s="4"/>
    </row>
    <row r="93" spans="1:5" x14ac:dyDescent="0.2">
      <c r="A93" s="5" t="s">
        <v>168</v>
      </c>
      <c r="E93" s="6"/>
    </row>
    <row r="94" spans="1:5" x14ac:dyDescent="0.2">
      <c r="A94" s="5"/>
      <c r="E94" s="6"/>
    </row>
    <row r="95" spans="1:5" x14ac:dyDescent="0.2">
      <c r="A95" s="5" t="s">
        <v>127</v>
      </c>
      <c r="B95" s="1" t="s">
        <v>129</v>
      </c>
      <c r="C95" s="1" t="s">
        <v>169</v>
      </c>
      <c r="E95" s="6"/>
    </row>
    <row r="96" spans="1:5" x14ac:dyDescent="0.2">
      <c r="A96" s="5">
        <v>0</v>
      </c>
      <c r="B96" s="1" t="s">
        <v>7</v>
      </c>
      <c r="C96" s="215">
        <v>1</v>
      </c>
      <c r="E96" s="6"/>
    </row>
    <row r="97" spans="1:5" x14ac:dyDescent="0.2">
      <c r="A97" s="5">
        <v>1</v>
      </c>
      <c r="B97" s="1" t="s">
        <v>64</v>
      </c>
      <c r="C97" s="215">
        <v>1</v>
      </c>
      <c r="E97" s="6"/>
    </row>
    <row r="98" spans="1:5" x14ac:dyDescent="0.2">
      <c r="A98" s="5">
        <v>2</v>
      </c>
      <c r="B98" s="1" t="s">
        <v>71</v>
      </c>
      <c r="C98" s="215">
        <v>1</v>
      </c>
      <c r="E98" s="6"/>
    </row>
    <row r="99" spans="1:5" x14ac:dyDescent="0.2">
      <c r="A99" s="5">
        <v>3</v>
      </c>
      <c r="B99" s="1" t="s">
        <v>56</v>
      </c>
      <c r="C99" s="215">
        <v>1</v>
      </c>
      <c r="E99" s="6"/>
    </row>
    <row r="100" spans="1:5" x14ac:dyDescent="0.2">
      <c r="A100" s="5">
        <v>4</v>
      </c>
      <c r="B100" s="1" t="s">
        <v>57</v>
      </c>
      <c r="C100" s="215">
        <v>1</v>
      </c>
      <c r="E100" s="6"/>
    </row>
    <row r="101" spans="1:5" x14ac:dyDescent="0.2">
      <c r="A101" s="5">
        <v>5</v>
      </c>
      <c r="B101" s="1" t="s">
        <v>174</v>
      </c>
      <c r="C101" s="215">
        <v>1</v>
      </c>
      <c r="E101" s="6"/>
    </row>
    <row r="102" spans="1:5" x14ac:dyDescent="0.2">
      <c r="A102" s="5">
        <v>6</v>
      </c>
      <c r="B102" s="1" t="s">
        <v>7</v>
      </c>
      <c r="C102" s="215">
        <v>1</v>
      </c>
      <c r="E102" s="6"/>
    </row>
    <row r="103" spans="1:5" x14ac:dyDescent="0.2">
      <c r="A103" s="7"/>
      <c r="B103" s="8"/>
      <c r="C103" s="8"/>
      <c r="D103" s="8"/>
      <c r="E103" s="79"/>
    </row>
    <row r="105" spans="1:5" x14ac:dyDescent="0.2">
      <c r="A105" s="2" t="s">
        <v>123</v>
      </c>
      <c r="B105" s="3"/>
      <c r="C105" s="3"/>
      <c r="D105" s="3"/>
      <c r="E105" s="4"/>
    </row>
    <row r="106" spans="1:5" x14ac:dyDescent="0.2">
      <c r="A106" s="5" t="s">
        <v>135</v>
      </c>
      <c r="E106" s="6"/>
    </row>
    <row r="107" spans="1:5" x14ac:dyDescent="0.2">
      <c r="A107" s="5"/>
      <c r="E107" s="6"/>
    </row>
    <row r="108" spans="1:5" x14ac:dyDescent="0.2">
      <c r="A108" s="5" t="s">
        <v>127</v>
      </c>
      <c r="B108" s="1" t="s">
        <v>129</v>
      </c>
      <c r="C108" s="1" t="s">
        <v>142</v>
      </c>
      <c r="E108" s="6"/>
    </row>
    <row r="109" spans="1:5" x14ac:dyDescent="0.2">
      <c r="A109" s="5">
        <v>0</v>
      </c>
      <c r="B109" s="1" t="s">
        <v>7</v>
      </c>
      <c r="C109" s="1">
        <v>0</v>
      </c>
      <c r="E109" s="6"/>
    </row>
    <row r="110" spans="1:5" x14ac:dyDescent="0.2">
      <c r="A110" s="5">
        <v>1</v>
      </c>
      <c r="B110" s="1" t="s">
        <v>64</v>
      </c>
      <c r="C110" s="1">
        <v>-1</v>
      </c>
      <c r="E110" s="6"/>
    </row>
    <row r="111" spans="1:5" x14ac:dyDescent="0.2">
      <c r="A111" s="5">
        <v>2</v>
      </c>
      <c r="B111" s="1" t="s">
        <v>71</v>
      </c>
      <c r="C111" s="1">
        <v>1</v>
      </c>
      <c r="E111" s="6"/>
    </row>
    <row r="112" spans="1:5" x14ac:dyDescent="0.2">
      <c r="A112" s="5">
        <v>3</v>
      </c>
      <c r="B112" s="1" t="s">
        <v>56</v>
      </c>
      <c r="C112" s="1">
        <v>-1</v>
      </c>
      <c r="E112" s="6"/>
    </row>
    <row r="113" spans="1:5" x14ac:dyDescent="0.2">
      <c r="A113" s="5">
        <v>4</v>
      </c>
      <c r="B113" s="1" t="s">
        <v>57</v>
      </c>
      <c r="C113" s="1">
        <v>1</v>
      </c>
      <c r="E113" s="6"/>
    </row>
    <row r="114" spans="1:5" x14ac:dyDescent="0.2">
      <c r="A114" s="5">
        <v>5</v>
      </c>
      <c r="B114" s="1" t="s">
        <v>174</v>
      </c>
      <c r="C114" s="1">
        <v>-1</v>
      </c>
      <c r="E114" s="6"/>
    </row>
    <row r="115" spans="1:5" x14ac:dyDescent="0.2">
      <c r="A115" s="5">
        <v>6</v>
      </c>
      <c r="B115" s="1" t="s">
        <v>7</v>
      </c>
      <c r="C115" s="1">
        <v>0</v>
      </c>
      <c r="E115" s="6"/>
    </row>
    <row r="116" spans="1:5" x14ac:dyDescent="0.2">
      <c r="A116" s="7"/>
      <c r="B116" s="8"/>
      <c r="C116" s="8"/>
      <c r="D116" s="8"/>
      <c r="E116" s="79"/>
    </row>
    <row r="118" spans="1:5" x14ac:dyDescent="0.2">
      <c r="A118" s="2" t="s">
        <v>261</v>
      </c>
      <c r="B118" s="3"/>
      <c r="C118" s="3"/>
      <c r="D118" s="3"/>
      <c r="E118" s="4"/>
    </row>
    <row r="119" spans="1:5" x14ac:dyDescent="0.2">
      <c r="A119" s="5"/>
      <c r="E119" s="6"/>
    </row>
    <row r="120" spans="1:5" x14ac:dyDescent="0.2">
      <c r="A120" s="5"/>
      <c r="B120" s="1" t="s">
        <v>101</v>
      </c>
      <c r="C120" s="1" t="s">
        <v>244</v>
      </c>
      <c r="D120" s="1" t="s">
        <v>119</v>
      </c>
      <c r="E120" s="6"/>
    </row>
    <row r="121" spans="1:5" x14ac:dyDescent="0.2">
      <c r="A121" s="5" t="s">
        <v>242</v>
      </c>
      <c r="B121" s="1">
        <f>LønkodeRåd1</f>
        <v>0</v>
      </c>
      <c r="E121" s="6"/>
    </row>
    <row r="122" spans="1:5" x14ac:dyDescent="0.2">
      <c r="A122" s="5" t="s">
        <v>243</v>
      </c>
      <c r="B122" s="1">
        <f>LønkodeRåd2</f>
        <v>0</v>
      </c>
      <c r="E122" s="6"/>
    </row>
    <row r="123" spans="1:5" x14ac:dyDescent="0.2">
      <c r="A123" s="5" t="s">
        <v>260</v>
      </c>
      <c r="B123" s="1">
        <f>LønkodeRåd2Time</f>
        <v>0</v>
      </c>
      <c r="E123" s="6"/>
    </row>
    <row r="124" spans="1:5" x14ac:dyDescent="0.2">
      <c r="A124" s="7"/>
      <c r="B124" s="8"/>
      <c r="C124" s="8"/>
      <c r="D124" s="8"/>
      <c r="E124" s="79"/>
    </row>
    <row r="126" spans="1:5" x14ac:dyDescent="0.2">
      <c r="A126" s="2" t="s">
        <v>123</v>
      </c>
      <c r="B126" s="3"/>
      <c r="C126" s="3"/>
      <c r="D126" s="3"/>
      <c r="E126" s="4"/>
    </row>
    <row r="127" spans="1:5" x14ac:dyDescent="0.2">
      <c r="A127" s="5" t="s">
        <v>256</v>
      </c>
      <c r="E127" s="6"/>
    </row>
    <row r="128" spans="1:5" x14ac:dyDescent="0.2">
      <c r="A128" s="5"/>
      <c r="E128" s="6"/>
    </row>
    <row r="129" spans="1:5" x14ac:dyDescent="0.2">
      <c r="A129" s="5" t="s">
        <v>127</v>
      </c>
      <c r="B129" s="1" t="s">
        <v>129</v>
      </c>
      <c r="C129" s="1" t="s">
        <v>128</v>
      </c>
      <c r="E129" s="6"/>
    </row>
    <row r="130" spans="1:5" x14ac:dyDescent="0.2">
      <c r="A130" s="5">
        <v>0</v>
      </c>
      <c r="B130" s="1" t="s">
        <v>7</v>
      </c>
      <c r="C130" s="1">
        <v>0</v>
      </c>
      <c r="E130" s="6"/>
    </row>
    <row r="131" spans="1:5" x14ac:dyDescent="0.2">
      <c r="A131" s="5">
        <v>1</v>
      </c>
      <c r="B131" s="1" t="s">
        <v>64</v>
      </c>
      <c r="C131" s="1">
        <v>0</v>
      </c>
      <c r="E131" s="6"/>
    </row>
    <row r="132" spans="1:5" x14ac:dyDescent="0.2">
      <c r="A132" s="5">
        <v>2</v>
      </c>
      <c r="B132" s="1" t="s">
        <v>71</v>
      </c>
      <c r="C132" s="1">
        <v>0</v>
      </c>
      <c r="E132" s="6"/>
    </row>
    <row r="133" spans="1:5" x14ac:dyDescent="0.2">
      <c r="A133" s="5">
        <v>3</v>
      </c>
      <c r="B133" s="1" t="s">
        <v>56</v>
      </c>
      <c r="C133" s="1">
        <v>1</v>
      </c>
      <c r="E133" s="6"/>
    </row>
    <row r="134" spans="1:5" x14ac:dyDescent="0.2">
      <c r="A134" s="5">
        <v>4</v>
      </c>
      <c r="B134" s="1" t="s">
        <v>57</v>
      </c>
      <c r="C134" s="1">
        <v>1</v>
      </c>
      <c r="E134" s="6"/>
    </row>
    <row r="135" spans="1:5" x14ac:dyDescent="0.2">
      <c r="A135" s="5">
        <v>5</v>
      </c>
      <c r="B135" s="1" t="s">
        <v>174</v>
      </c>
      <c r="C135" s="1">
        <v>1</v>
      </c>
      <c r="E135" s="6"/>
    </row>
    <row r="136" spans="1:5" x14ac:dyDescent="0.2">
      <c r="A136" s="5">
        <v>6</v>
      </c>
      <c r="B136" s="1" t="s">
        <v>7</v>
      </c>
      <c r="C136" s="1">
        <v>0</v>
      </c>
      <c r="E136" s="6"/>
    </row>
    <row r="137" spans="1:5" x14ac:dyDescent="0.2">
      <c r="A137" s="7"/>
      <c r="B137" s="8"/>
      <c r="C137" s="8"/>
      <c r="D137" s="8"/>
      <c r="E137" s="79"/>
    </row>
    <row r="139" spans="1:5" x14ac:dyDescent="0.2">
      <c r="A139" s="2" t="s">
        <v>270</v>
      </c>
      <c r="B139" s="3"/>
      <c r="C139" s="3"/>
      <c r="D139" s="3"/>
      <c r="E139" s="4"/>
    </row>
    <row r="140" spans="1:5" x14ac:dyDescent="0.2">
      <c r="A140" s="5" t="s">
        <v>271</v>
      </c>
      <c r="E140" s="6"/>
    </row>
    <row r="141" spans="1:5" x14ac:dyDescent="0.2">
      <c r="A141" s="5"/>
      <c r="B141" s="1" t="s">
        <v>279</v>
      </c>
      <c r="E141" s="6"/>
    </row>
    <row r="142" spans="1:5" x14ac:dyDescent="0.2">
      <c r="A142" s="80" t="s">
        <v>101</v>
      </c>
      <c r="B142" s="1" t="s">
        <v>280</v>
      </c>
      <c r="C142" s="1" t="s">
        <v>278</v>
      </c>
      <c r="E142" s="6"/>
    </row>
    <row r="143" spans="1:5" x14ac:dyDescent="0.2">
      <c r="A143" s="5">
        <v>0</v>
      </c>
      <c r="B143" s="257">
        <f>procentregulering</f>
        <v>65.337800000000001</v>
      </c>
      <c r="C143" s="258">
        <f>PctRegNiveau</f>
        <v>36616</v>
      </c>
      <c r="E143" s="6"/>
    </row>
    <row r="144" spans="1:5" x14ac:dyDescent="0.2">
      <c r="A144" s="5">
        <v>1</v>
      </c>
      <c r="B144" s="257">
        <f>procentregulering</f>
        <v>65.337800000000001</v>
      </c>
      <c r="C144" s="258">
        <f>PctRegNiveau</f>
        <v>36616</v>
      </c>
      <c r="E144" s="6"/>
    </row>
    <row r="145" spans="1:5" x14ac:dyDescent="0.2">
      <c r="A145" s="5">
        <v>2</v>
      </c>
      <c r="B145" s="257">
        <f>procentregulering</f>
        <v>65.337800000000001</v>
      </c>
      <c r="C145" s="258">
        <f>PctRegNiveau</f>
        <v>36616</v>
      </c>
      <c r="E145" s="6"/>
    </row>
    <row r="146" spans="1:5" x14ac:dyDescent="0.2">
      <c r="A146" s="5">
        <v>3</v>
      </c>
      <c r="B146" s="257">
        <f>ProcentreguleringSund</f>
        <v>45.015500000000003</v>
      </c>
      <c r="C146" s="258">
        <f>PctRegNiveauSund</f>
        <v>38718</v>
      </c>
      <c r="E146" s="6"/>
    </row>
    <row r="147" spans="1:5" x14ac:dyDescent="0.2">
      <c r="A147" s="5">
        <v>4</v>
      </c>
      <c r="B147" s="257">
        <f>ProcentreguleringSund</f>
        <v>45.015500000000003</v>
      </c>
      <c r="C147" s="258">
        <f>PctRegNiveauSund</f>
        <v>38718</v>
      </c>
      <c r="E147" s="6"/>
    </row>
    <row r="148" spans="1:5" x14ac:dyDescent="0.2">
      <c r="A148" s="5">
        <v>5</v>
      </c>
      <c r="B148" s="257">
        <f>ProcentreguleringSund</f>
        <v>45.015500000000003</v>
      </c>
      <c r="C148" s="258">
        <f>PctRegNiveauSund</f>
        <v>38718</v>
      </c>
      <c r="E148" s="6"/>
    </row>
    <row r="149" spans="1:5" x14ac:dyDescent="0.2">
      <c r="A149" s="5">
        <v>6</v>
      </c>
      <c r="B149" s="257">
        <v>0</v>
      </c>
      <c r="C149" s="258">
        <f>PctRegNiveau</f>
        <v>36616</v>
      </c>
      <c r="E149" s="6"/>
    </row>
    <row r="150" spans="1:5" x14ac:dyDescent="0.2">
      <c r="A150" s="7"/>
      <c r="B150" s="8"/>
      <c r="C150" s="8"/>
      <c r="D150" s="8"/>
      <c r="E150" s="79"/>
    </row>
  </sheetData>
  <sheetProtection password="CF28" sheet="1" objects="1" scenarios="1"/>
  <customSheetViews>
    <customSheetView guid="{40555330-83BF-42FA-97D0-8A355A41C0A0}" state="hidden">
      <selection activeCell="B11" sqref="B11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A98DE1BF5192438795D584898F78A7" ma:contentTypeVersion="11" ma:contentTypeDescription="Create a new document." ma:contentTypeScope="" ma:versionID="096845bc2797914b51fbe4db6a3380bf">
  <xsd:schema xmlns:xsd="http://www.w3.org/2001/XMLSchema" xmlns:xs="http://www.w3.org/2001/XMLSchema" xmlns:p="http://schemas.microsoft.com/office/2006/metadata/properties" xmlns:ns3="afa40aa8-e813-4eb4-b28b-81ba72223479" targetNamespace="http://schemas.microsoft.com/office/2006/metadata/properties" ma:root="true" ma:fieldsID="319762c5a8aa80a773c9630b44bf7605" ns3:_="">
    <xsd:import namespace="afa40aa8-e813-4eb4-b28b-81ba72223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40aa8-e813-4eb4-b28b-81ba72223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a40aa8-e813-4eb4-b28b-81ba72223479" xsi:nil="true"/>
  </documentManagement>
</p:properties>
</file>

<file path=customXml/itemProps1.xml><?xml version="1.0" encoding="utf-8"?>
<ds:datastoreItem xmlns:ds="http://schemas.openxmlformats.org/officeDocument/2006/customXml" ds:itemID="{C4A257D4-4617-46CD-AA98-80FDB9E6E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40aa8-e813-4eb4-b28b-81ba72223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4E6CE-B921-4BD1-B61B-97617A2B5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EB1B0-6849-450F-8776-9A61BB3A453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fa40aa8-e813-4eb4-b28b-81ba722234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92</vt:i4>
      </vt:variant>
    </vt:vector>
  </HeadingPairs>
  <TitlesOfParts>
    <vt:vector size="103" baseType="lpstr">
      <vt:lpstr>Afgang Tilgang</vt:lpstr>
      <vt:lpstr>Timeløn</vt:lpstr>
      <vt:lpstr>Udgiftsberegning</vt:lpstr>
      <vt:lpstr>Puljebelastning</vt:lpstr>
      <vt:lpstr>Ændring af medarbejders løn</vt:lpstr>
      <vt:lpstr>Nyansættelse af medarbejder</vt:lpstr>
      <vt:lpstr>Beregn tillæg</vt:lpstr>
      <vt:lpstr>lønninger</vt:lpstr>
      <vt:lpstr>SEM</vt:lpstr>
      <vt:lpstr>Diverse</vt:lpstr>
      <vt:lpstr>Vejledning</vt:lpstr>
      <vt:lpstr>'Nyansættelse af medarbejder'!BeskGradNyLøn</vt:lpstr>
      <vt:lpstr>BeskGradNyLøn</vt:lpstr>
      <vt:lpstr>BeskGradNyLøn1</vt:lpstr>
      <vt:lpstr>BeskGradRåd1</vt:lpstr>
      <vt:lpstr>BeskGradRåd2</vt:lpstr>
      <vt:lpstr>BeskGradRåd2Time</vt:lpstr>
      <vt:lpstr>Dato1</vt:lpstr>
      <vt:lpstr>Dato2</vt:lpstr>
      <vt:lpstr>Dato3</vt:lpstr>
      <vt:lpstr>Dato4</vt:lpstr>
      <vt:lpstr>DatoLønind</vt:lpstr>
      <vt:lpstr>DatoLønInd2</vt:lpstr>
      <vt:lpstr>DatoLønindSund</vt:lpstr>
      <vt:lpstr>DatoLønindSund2</vt:lpstr>
      <vt:lpstr>DatoSund1</vt:lpstr>
      <vt:lpstr>DatoSund2</vt:lpstr>
      <vt:lpstr>DatoSund3</vt:lpstr>
      <vt:lpstr>DatoSund4</vt:lpstr>
      <vt:lpstr>FraTil</vt:lpstr>
      <vt:lpstr>JNferiepenge</vt:lpstr>
      <vt:lpstr>JNovergang</vt:lpstr>
      <vt:lpstr>'Nyansættelse af medarbejder'!LønkodeNyLøn</vt:lpstr>
      <vt:lpstr>LønkodeNyLøn</vt:lpstr>
      <vt:lpstr>LønkodeRåd1</vt:lpstr>
      <vt:lpstr>LønkodeRåd2</vt:lpstr>
      <vt:lpstr>LønkodeRåd2Time</vt:lpstr>
      <vt:lpstr>LønkodeTillæg</vt:lpstr>
      <vt:lpstr>LønkodeUd</vt:lpstr>
      <vt:lpstr>LønPr</vt:lpstr>
      <vt:lpstr>LønPrDato</vt:lpstr>
      <vt:lpstr>LønPrStor</vt:lpstr>
      <vt:lpstr>MaksBeløb</vt:lpstr>
      <vt:lpstr>MaxPensionskodeAfgang</vt:lpstr>
      <vt:lpstr>MaxPensionskodeTilgang</vt:lpstr>
      <vt:lpstr>MaxPensionskodeTime</vt:lpstr>
      <vt:lpstr>MaxProcentForvPulje</vt:lpstr>
      <vt:lpstr>NævnerRåd1</vt:lpstr>
      <vt:lpstr>NævnerRåd2</vt:lpstr>
      <vt:lpstr>NævnerRåd2Time</vt:lpstr>
      <vt:lpstr>NævnerUd</vt:lpstr>
      <vt:lpstr>PctRegNiveau</vt:lpstr>
      <vt:lpstr>PctRegNiveauSund</vt:lpstr>
      <vt:lpstr>'Nyansættelse af medarbejder'!PctRegNyLøn</vt:lpstr>
      <vt:lpstr>PctRegNyLøn</vt:lpstr>
      <vt:lpstr>PctRegRåd1</vt:lpstr>
      <vt:lpstr>PctRegRåd2</vt:lpstr>
      <vt:lpstr>PctregTillæg</vt:lpstr>
      <vt:lpstr>PctRegTime</vt:lpstr>
      <vt:lpstr>PctRegUd</vt:lpstr>
      <vt:lpstr>PctRegUdDato</vt:lpstr>
      <vt:lpstr>Pensionsprocentafgang</vt:lpstr>
      <vt:lpstr>'Nyansættelse af medarbejder'!PensionsProcentNyLøn</vt:lpstr>
      <vt:lpstr>PensionsProcentNyLøn</vt:lpstr>
      <vt:lpstr>PensionsProcentTilgang</vt:lpstr>
      <vt:lpstr>PensionsProcentTilgangTime</vt:lpstr>
      <vt:lpstr>PensionsprocentUdgift</vt:lpstr>
      <vt:lpstr>procentregulering</vt:lpstr>
      <vt:lpstr>ProcentreguleringSund</vt:lpstr>
      <vt:lpstr>Puljeår</vt:lpstr>
      <vt:lpstr>StartkolonneAC1</vt:lpstr>
      <vt:lpstr>StartkolonneAC2</vt:lpstr>
      <vt:lpstr>StartkolonneNyLøn</vt:lpstr>
      <vt:lpstr>StartKolonneRåd1</vt:lpstr>
      <vt:lpstr>StartKolonneRåd2</vt:lpstr>
      <vt:lpstr>StartKolonneRåd2Time</vt:lpstr>
      <vt:lpstr>StartkolonneStandard</vt:lpstr>
      <vt:lpstr>StartkolonneSundAlm</vt:lpstr>
      <vt:lpstr>StartkolonneSundLeder</vt:lpstr>
      <vt:lpstr>StartKolonneUdLøn</vt:lpstr>
      <vt:lpstr>TabelLøn</vt:lpstr>
      <vt:lpstr>TabelLønninger</vt:lpstr>
      <vt:lpstr>TabelLøntabel</vt:lpstr>
      <vt:lpstr>TabelNettoløn</vt:lpstr>
      <vt:lpstr>tabeloverenskomstnr</vt:lpstr>
      <vt:lpstr>TabelPctReg</vt:lpstr>
      <vt:lpstr>TabelPensgivLøn</vt:lpstr>
      <vt:lpstr>TabelPuljePension</vt:lpstr>
      <vt:lpstr>TabelRammeforbrug</vt:lpstr>
      <vt:lpstr>Tabelændringskode</vt:lpstr>
      <vt:lpstr>'Nyansættelse af medarbejder'!TællerNyLøn</vt:lpstr>
      <vt:lpstr>TællerNyLøn</vt:lpstr>
      <vt:lpstr>TællerRåd1</vt:lpstr>
      <vt:lpstr>TællerRåd2</vt:lpstr>
      <vt:lpstr>TællerRåd2Time</vt:lpstr>
      <vt:lpstr>TællerUd</vt:lpstr>
      <vt:lpstr>'Afgang Tilgang'!Udskriftsområde</vt:lpstr>
      <vt:lpstr>'Nyansættelse af medarbejder'!Udskriftsområde</vt:lpstr>
      <vt:lpstr>Puljebelastning!Udskriftsområde</vt:lpstr>
      <vt:lpstr>Timeløn!Udskriftsområde</vt:lpstr>
      <vt:lpstr>'Ændring af medarbejders løn'!Udskriftsområde</vt:lpstr>
      <vt:lpstr>Puljebelastning!Udskriftstitler</vt:lpstr>
      <vt:lpstr>UdskrivLinie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Sv.E. Madsen</dc:creator>
  <cp:lastModifiedBy>Niels Ingstrup</cp:lastModifiedBy>
  <cp:lastPrinted>2024-01-09T08:14:16Z</cp:lastPrinted>
  <dcterms:created xsi:type="dcterms:W3CDTF">2000-11-08T14:03:43Z</dcterms:created>
  <dcterms:modified xsi:type="dcterms:W3CDTF">2026-04-28T12:49:18Z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0x01010071A98DE1BF5192438795D584898F78A7</vt:lpwstr>
  </property>
</Properties>
</file>